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vin\Documents\Szakreferensi munkák\Bajai SZC\2021 évi jelentések\"/>
    </mc:Choice>
  </mc:AlternateContent>
  <bookViews>
    <workbookView xWindow="0" yWindow="0" windowWidth="28800" windowHeight="11730" firstSheet="8" activeTab="11"/>
  </bookViews>
  <sheets>
    <sheet name="Földgáz Baja 20 feletti" sheetId="1" r:id="rId1"/>
    <sheet name="Földgáz Baja 20 alatti" sheetId="17" r:id="rId2"/>
    <sheet name="Földgáz Kalocsa 20 feletti" sheetId="10" r:id="rId3"/>
    <sheet name="Földgáz Kalocsa 20 alatti" sheetId="16" r:id="rId4"/>
    <sheet name="Földgáz SZC Összesen" sheetId="12" r:id="rId5"/>
    <sheet name=" Villamos Energia Baja" sheetId="2" r:id="rId6"/>
    <sheet name="Villamos Energia Kalocsa" sheetId="11" r:id="rId7"/>
    <sheet name="Villamos Energia SZC Összesen" sheetId="13" r:id="rId8"/>
    <sheet name="Hő Energia SZC Összesen" sheetId="14" r:id="rId9"/>
    <sheet name="Üzemanyag SZC Összesen" sheetId="5" r:id="rId10"/>
    <sheet name="Járművek SZC Összesen" sheetId="15" r:id="rId11"/>
    <sheet name="Adatok 22.C-hez" sheetId="9" r:id="rId12"/>
    <sheet name="Intézményenkénti" sheetId="18" r:id="rId13"/>
    <sheet name="Honlapra Május 31-ig" sheetId="19" r:id="rId14"/>
  </sheets>
  <calcPr calcId="162913"/>
</workbook>
</file>

<file path=xl/calcChain.xml><?xml version="1.0" encoding="utf-8"?>
<calcChain xmlns="http://schemas.openxmlformats.org/spreadsheetml/2006/main">
  <c r="C8" i="19" l="1"/>
  <c r="B8" i="19"/>
  <c r="C9" i="19"/>
  <c r="B39" i="9" l="1"/>
  <c r="B21" i="9"/>
  <c r="B37" i="9"/>
  <c r="C35" i="9"/>
  <c r="B35" i="9"/>
  <c r="C31" i="9"/>
  <c r="B31" i="9"/>
  <c r="C28" i="9"/>
  <c r="B28" i="9"/>
  <c r="C24" i="9"/>
  <c r="B24" i="9"/>
  <c r="O17" i="9"/>
  <c r="N17" i="9"/>
  <c r="H52" i="2" l="1"/>
  <c r="I52" i="2"/>
  <c r="J52" i="2"/>
  <c r="K52" i="2"/>
  <c r="L52" i="2"/>
  <c r="M52" i="2"/>
  <c r="N52" i="2"/>
  <c r="O52" i="2"/>
  <c r="P52" i="2"/>
  <c r="Q52" i="2"/>
  <c r="G52" i="2"/>
  <c r="Q43" i="16" l="1"/>
  <c r="P43" i="16"/>
  <c r="O43" i="16"/>
  <c r="N43" i="16"/>
  <c r="M43" i="16"/>
  <c r="L43" i="16"/>
  <c r="K43" i="16"/>
  <c r="J43" i="16"/>
  <c r="I43" i="16"/>
  <c r="H43" i="16"/>
  <c r="G43" i="16"/>
  <c r="F43" i="16"/>
  <c r="H32" i="16"/>
  <c r="I32" i="16"/>
  <c r="L32" i="16"/>
  <c r="M32" i="16"/>
  <c r="F32" i="16"/>
  <c r="P31" i="16"/>
  <c r="P32" i="16" s="1"/>
  <c r="O31" i="16"/>
  <c r="O32" i="16" s="1"/>
  <c r="K31" i="16"/>
  <c r="P39" i="17"/>
  <c r="O39" i="17"/>
  <c r="M15" i="2" l="1"/>
  <c r="H15" i="2"/>
  <c r="P69" i="17" l="1"/>
  <c r="O69" i="17"/>
  <c r="M69" i="17"/>
  <c r="L69" i="17"/>
  <c r="K69" i="17"/>
  <c r="I69" i="17"/>
  <c r="H69" i="17"/>
  <c r="F69" i="17"/>
  <c r="K45" i="17"/>
  <c r="G58" i="17"/>
  <c r="H58" i="17"/>
  <c r="I58" i="17"/>
  <c r="J58" i="17"/>
  <c r="K58" i="17"/>
  <c r="L58" i="17"/>
  <c r="M58" i="17"/>
  <c r="N58" i="17"/>
  <c r="O58" i="17"/>
  <c r="P58" i="17"/>
  <c r="F58" i="17"/>
  <c r="O45" i="17"/>
  <c r="P45" i="17"/>
  <c r="F45" i="17"/>
  <c r="H142" i="2" l="1"/>
  <c r="I142" i="2"/>
  <c r="J142" i="2"/>
  <c r="K142" i="2"/>
  <c r="L142" i="2"/>
  <c r="M142" i="2"/>
  <c r="N142" i="2"/>
  <c r="O142" i="2"/>
  <c r="P142" i="2"/>
  <c r="Q142" i="2"/>
  <c r="G142" i="2"/>
  <c r="G124" i="2"/>
  <c r="P123" i="2"/>
  <c r="O123" i="2"/>
  <c r="N123" i="2"/>
  <c r="H160" i="2"/>
  <c r="I160" i="2"/>
  <c r="J160" i="2"/>
  <c r="K160" i="2"/>
  <c r="L160" i="2"/>
  <c r="M160" i="2"/>
  <c r="N160" i="2"/>
  <c r="O160" i="2"/>
  <c r="P160" i="2"/>
  <c r="Q160" i="2"/>
  <c r="G160" i="2"/>
  <c r="P159" i="2"/>
  <c r="O159" i="2"/>
  <c r="N159" i="2"/>
  <c r="P86" i="11"/>
  <c r="O86" i="11"/>
  <c r="N86" i="11"/>
  <c r="H105" i="11"/>
  <c r="I105" i="11"/>
  <c r="J105" i="11"/>
  <c r="K105" i="11"/>
  <c r="L105" i="11"/>
  <c r="M105" i="11"/>
  <c r="N105" i="11"/>
  <c r="O105" i="11"/>
  <c r="P105" i="11"/>
  <c r="Q105" i="11"/>
  <c r="G105" i="11"/>
  <c r="P104" i="11"/>
  <c r="O104" i="11"/>
  <c r="N104" i="11"/>
  <c r="H69" i="11"/>
  <c r="I69" i="11"/>
  <c r="J69" i="11"/>
  <c r="K69" i="11"/>
  <c r="L69" i="11"/>
  <c r="M69" i="11"/>
  <c r="N69" i="11"/>
  <c r="O69" i="11"/>
  <c r="P69" i="11"/>
  <c r="Q69" i="11"/>
  <c r="G69" i="11"/>
  <c r="P68" i="11"/>
  <c r="O68" i="11"/>
  <c r="N68" i="11"/>
  <c r="H123" i="11"/>
  <c r="I123" i="11"/>
  <c r="J123" i="11"/>
  <c r="K123" i="11"/>
  <c r="L123" i="11"/>
  <c r="M123" i="11"/>
  <c r="N123" i="11"/>
  <c r="O123" i="11"/>
  <c r="P123" i="11"/>
  <c r="Q123" i="11"/>
  <c r="G123" i="11"/>
  <c r="O122" i="11"/>
  <c r="H51" i="11"/>
  <c r="I51" i="11"/>
  <c r="J51" i="11"/>
  <c r="K51" i="11"/>
  <c r="L51" i="11"/>
  <c r="M51" i="11"/>
  <c r="N51" i="11"/>
  <c r="O51" i="11"/>
  <c r="P51" i="11"/>
  <c r="Q51" i="11"/>
  <c r="G51" i="11"/>
  <c r="P50" i="11"/>
  <c r="O50" i="11"/>
  <c r="N50" i="11"/>
  <c r="L195" i="2"/>
  <c r="N195" i="2"/>
  <c r="P195" i="2"/>
  <c r="K195" i="2"/>
  <c r="H197" i="2"/>
  <c r="I197" i="2"/>
  <c r="M197" i="2"/>
  <c r="G197" i="2"/>
  <c r="G195" i="2"/>
  <c r="T195" i="2"/>
  <c r="U195" i="2"/>
  <c r="V195" i="2"/>
  <c r="W195" i="2"/>
  <c r="Q195" i="2"/>
  <c r="R195" i="2" s="1"/>
  <c r="H178" i="2"/>
  <c r="I178" i="2"/>
  <c r="M178" i="2"/>
  <c r="O177" i="2"/>
  <c r="N177" i="2"/>
  <c r="P177" i="2"/>
  <c r="H88" i="2"/>
  <c r="I88" i="2"/>
  <c r="M88" i="2"/>
  <c r="O88" i="2"/>
  <c r="P87" i="2"/>
  <c r="N87" i="2"/>
  <c r="K87" i="2"/>
  <c r="G87" i="2"/>
  <c r="G76" i="2"/>
  <c r="G88" i="2"/>
  <c r="P140" i="11"/>
  <c r="N140" i="11"/>
  <c r="H141" i="11"/>
  <c r="I141" i="11"/>
  <c r="J141" i="11"/>
  <c r="K141" i="11"/>
  <c r="L141" i="11"/>
  <c r="M141" i="11"/>
  <c r="N141" i="11"/>
  <c r="O141" i="11"/>
  <c r="P141" i="11"/>
  <c r="G141" i="11"/>
  <c r="H106" i="2"/>
  <c r="I106" i="2"/>
  <c r="K106" i="2"/>
  <c r="M106" i="2"/>
  <c r="O106" i="2"/>
  <c r="G106" i="2"/>
  <c r="N105" i="2"/>
  <c r="P105" i="2"/>
  <c r="K15" i="1"/>
  <c r="K66" i="10"/>
  <c r="S195" i="2" l="1"/>
  <c r="K134" i="5"/>
  <c r="K133" i="5"/>
  <c r="J134" i="5"/>
  <c r="J133" i="5"/>
  <c r="M15" i="11" l="1"/>
  <c r="P40" i="17" l="1"/>
  <c r="F40" i="17"/>
  <c r="K39" i="17"/>
  <c r="K40" i="17" s="1"/>
  <c r="H6" i="17"/>
  <c r="I6" i="17"/>
  <c r="L6" i="17"/>
  <c r="M6" i="17"/>
  <c r="O6" i="17"/>
  <c r="P6" i="17"/>
  <c r="F6" i="17"/>
  <c r="K5" i="17"/>
  <c r="K47" i="10"/>
  <c r="K48" i="10"/>
  <c r="K32" i="10"/>
  <c r="F32" i="10"/>
  <c r="K6" i="17" l="1"/>
  <c r="O40" i="17"/>
  <c r="P194" i="2"/>
  <c r="P176" i="2"/>
  <c r="P49" i="11"/>
  <c r="P85" i="11"/>
  <c r="P67" i="11"/>
  <c r="P68" i="2"/>
  <c r="P86" i="2"/>
  <c r="S104" i="2"/>
  <c r="T104" i="2"/>
  <c r="U104" i="2"/>
  <c r="V104" i="2"/>
  <c r="P104" i="2"/>
  <c r="Q104" i="2" s="1"/>
  <c r="R104" i="2" s="1"/>
  <c r="P122" i="2"/>
  <c r="P121" i="11"/>
  <c r="P139" i="11"/>
  <c r="P103" i="11"/>
  <c r="P158" i="2"/>
  <c r="P15" i="11"/>
  <c r="L15" i="11"/>
  <c r="P32" i="11"/>
  <c r="L32" i="11"/>
  <c r="P15" i="2"/>
  <c r="L15" i="2"/>
  <c r="P32" i="2"/>
  <c r="L32" i="2"/>
  <c r="L50" i="2"/>
  <c r="T50" i="2" s="1"/>
  <c r="N50" i="2"/>
  <c r="P50" i="2"/>
  <c r="J50" i="2"/>
  <c r="S50" i="2"/>
  <c r="U50" i="2"/>
  <c r="V50" i="2"/>
  <c r="W50" i="2"/>
  <c r="P49" i="2"/>
  <c r="N49" i="2"/>
  <c r="L49" i="2"/>
  <c r="P193" i="2"/>
  <c r="P175" i="2"/>
  <c r="P48" i="11"/>
  <c r="P84" i="11"/>
  <c r="P66" i="11"/>
  <c r="P48" i="2"/>
  <c r="P67" i="2"/>
  <c r="P85" i="2"/>
  <c r="P103" i="2"/>
  <c r="P121" i="2"/>
  <c r="P120" i="11"/>
  <c r="P138" i="11"/>
  <c r="P102" i="11"/>
  <c r="P157" i="2"/>
  <c r="P14" i="11"/>
  <c r="L14" i="11"/>
  <c r="L31" i="11"/>
  <c r="P31" i="11"/>
  <c r="P14" i="2"/>
  <c r="L14" i="2"/>
  <c r="P31" i="2"/>
  <c r="M31" i="2"/>
  <c r="L31" i="2"/>
  <c r="W104" i="2" l="1"/>
  <c r="Q50" i="2"/>
  <c r="R50" i="2" s="1"/>
  <c r="K82" i="10"/>
  <c r="K83" i="10"/>
  <c r="K49" i="10"/>
  <c r="K15" i="10"/>
  <c r="K66" i="1"/>
  <c r="K49" i="1"/>
  <c r="K32" i="1"/>
  <c r="F32" i="1"/>
  <c r="P192" i="2" l="1"/>
  <c r="P197" i="2" s="1"/>
  <c r="P174" i="2"/>
  <c r="P47" i="11"/>
  <c r="P83" i="11"/>
  <c r="P65" i="11"/>
  <c r="P47" i="2"/>
  <c r="P66" i="2"/>
  <c r="P84" i="2"/>
  <c r="P88" i="2" s="1"/>
  <c r="P102" i="2"/>
  <c r="P106" i="2" s="1"/>
  <c r="P120" i="2"/>
  <c r="P119" i="11"/>
  <c r="P137" i="11"/>
  <c r="P101" i="11"/>
  <c r="P156" i="2"/>
  <c r="L13" i="11"/>
  <c r="M13" i="11"/>
  <c r="P13" i="11"/>
  <c r="P30" i="11"/>
  <c r="L30" i="11"/>
  <c r="P13" i="2"/>
  <c r="L13" i="2"/>
  <c r="L30" i="2"/>
  <c r="P30" i="2"/>
  <c r="M57" i="17"/>
  <c r="L57" i="17"/>
  <c r="I57" i="17"/>
  <c r="H57" i="17"/>
  <c r="F57" i="17"/>
  <c r="K14" i="1"/>
  <c r="K31" i="10"/>
  <c r="F31" i="10"/>
  <c r="K65" i="1"/>
  <c r="K48" i="1"/>
  <c r="K65" i="10"/>
  <c r="K14" i="10"/>
  <c r="K31" i="1"/>
  <c r="F31" i="1"/>
  <c r="G60" i="10" l="1"/>
  <c r="G61" i="10"/>
  <c r="G62" i="10"/>
  <c r="G63" i="10"/>
  <c r="G59" i="10"/>
  <c r="K13" i="1"/>
  <c r="H15" i="1"/>
  <c r="K30" i="10"/>
  <c r="F30" i="10"/>
  <c r="H32" i="10"/>
  <c r="L47" i="1"/>
  <c r="K47" i="1"/>
  <c r="J47" i="1"/>
  <c r="I47" i="1"/>
  <c r="H47" i="1"/>
  <c r="F47" i="1"/>
  <c r="K64" i="1"/>
  <c r="H66" i="1"/>
  <c r="H49" i="1"/>
  <c r="K64" i="10"/>
  <c r="K13" i="10"/>
  <c r="H81" i="10"/>
  <c r="H83" i="10"/>
  <c r="K81" i="10"/>
  <c r="H66" i="10"/>
  <c r="H49" i="10"/>
  <c r="H15" i="10"/>
  <c r="L30" i="1"/>
  <c r="K30" i="1"/>
  <c r="J30" i="1"/>
  <c r="I30" i="1"/>
  <c r="H30" i="1"/>
  <c r="F30" i="1"/>
  <c r="H32" i="1"/>
  <c r="P10" i="16"/>
  <c r="O10" i="16"/>
  <c r="F10" i="16"/>
  <c r="P36" i="17"/>
  <c r="O36" i="17"/>
  <c r="F36" i="17"/>
  <c r="L191" i="2" l="1"/>
  <c r="L12" i="11"/>
  <c r="L29" i="11"/>
  <c r="L12" i="2"/>
  <c r="L29" i="2"/>
  <c r="F29" i="10" l="1"/>
  <c r="F17" i="17"/>
  <c r="L11" i="11"/>
  <c r="L28" i="11"/>
  <c r="L11" i="2"/>
  <c r="N28" i="2"/>
  <c r="L28" i="2"/>
  <c r="O196" i="2"/>
  <c r="O197" i="2" s="1"/>
  <c r="N196" i="2"/>
  <c r="N197" i="2" s="1"/>
  <c r="L196" i="2"/>
  <c r="L197" i="2" s="1"/>
  <c r="K196" i="2"/>
  <c r="K197" i="2" s="1"/>
  <c r="N189" i="2" l="1"/>
  <c r="N171" i="2"/>
  <c r="N44" i="11"/>
  <c r="N80" i="11"/>
  <c r="N62" i="11"/>
  <c r="N44" i="2"/>
  <c r="N63" i="2"/>
  <c r="N81" i="2"/>
  <c r="L99" i="2"/>
  <c r="N99" i="2"/>
  <c r="N106" i="2" s="1"/>
  <c r="N117" i="2"/>
  <c r="N116" i="11"/>
  <c r="N134" i="11"/>
  <c r="N98" i="11"/>
  <c r="N153" i="2"/>
  <c r="L10" i="11"/>
  <c r="N10" i="11"/>
  <c r="N27" i="11"/>
  <c r="L27" i="11"/>
  <c r="L10" i="2"/>
  <c r="N10" i="2"/>
  <c r="N27" i="2"/>
  <c r="L27" i="2"/>
  <c r="K34" i="17"/>
  <c r="L29" i="14"/>
  <c r="H29" i="14"/>
  <c r="M11" i="14"/>
  <c r="N28" i="10"/>
  <c r="O28" i="10"/>
  <c r="P28" i="10"/>
  <c r="Q28" i="10"/>
  <c r="L28" i="14" l="1"/>
  <c r="H28" i="14"/>
  <c r="K16" i="17"/>
  <c r="F16" i="17"/>
  <c r="P9" i="1" l="1"/>
  <c r="O26" i="10"/>
  <c r="P26" i="10"/>
  <c r="Q26" i="10"/>
  <c r="N61" i="11"/>
  <c r="L115" i="11"/>
  <c r="N97" i="11"/>
  <c r="N152" i="2"/>
  <c r="L152" i="2"/>
  <c r="N9" i="11"/>
  <c r="M9" i="11"/>
  <c r="L9" i="11"/>
  <c r="N26" i="11"/>
  <c r="L26" i="11"/>
  <c r="N9" i="2"/>
  <c r="L9" i="2"/>
  <c r="N26" i="2"/>
  <c r="L26" i="2"/>
  <c r="F25" i="10" l="1"/>
  <c r="F24" i="10"/>
  <c r="F25" i="1"/>
  <c r="F24" i="1"/>
  <c r="O15" i="16"/>
  <c r="P15" i="16"/>
  <c r="F15" i="16"/>
  <c r="P147" i="2"/>
  <c r="O147" i="2"/>
  <c r="N147" i="2"/>
  <c r="L147" i="2"/>
  <c r="K147" i="2"/>
  <c r="G147" i="2"/>
  <c r="L149" i="2"/>
  <c r="P39" i="2"/>
  <c r="O39" i="2"/>
  <c r="N39" i="2"/>
  <c r="L39" i="2"/>
  <c r="K39" i="2"/>
  <c r="G39" i="2"/>
  <c r="P38" i="2"/>
  <c r="O38" i="2"/>
  <c r="N38" i="2"/>
  <c r="L38" i="2"/>
  <c r="K38" i="2"/>
  <c r="G38" i="2"/>
  <c r="P166" i="2"/>
  <c r="O166" i="2"/>
  <c r="O178" i="2" s="1"/>
  <c r="N166" i="2"/>
  <c r="N178" i="2" s="1"/>
  <c r="L166" i="2"/>
  <c r="K166" i="2"/>
  <c r="K178" i="2" s="1"/>
  <c r="G166" i="2"/>
  <c r="G178" i="2" s="1"/>
  <c r="P165" i="2"/>
  <c r="O165" i="2"/>
  <c r="N165" i="2"/>
  <c r="L165" i="2"/>
  <c r="K165" i="2"/>
  <c r="G165" i="2"/>
  <c r="P167" i="2"/>
  <c r="L61" i="2"/>
  <c r="L79" i="2"/>
  <c r="L115" i="2"/>
  <c r="N132" i="11"/>
  <c r="L132" i="11"/>
  <c r="N151" i="2"/>
  <c r="L151" i="2"/>
  <c r="N8" i="11"/>
  <c r="L8" i="11"/>
  <c r="N25" i="11"/>
  <c r="L25" i="11"/>
  <c r="N8" i="2"/>
  <c r="L8" i="2"/>
  <c r="N25" i="2"/>
  <c r="L25" i="2"/>
  <c r="P77" i="11"/>
  <c r="O77" i="11"/>
  <c r="N77" i="11"/>
  <c r="L77" i="11"/>
  <c r="K77" i="11"/>
  <c r="G77" i="11"/>
  <c r="P76" i="11"/>
  <c r="O76" i="11"/>
  <c r="N76" i="11"/>
  <c r="K76" i="11"/>
  <c r="L76" i="11"/>
  <c r="G76" i="11"/>
  <c r="P75" i="11"/>
  <c r="O75" i="11"/>
  <c r="N75" i="11"/>
  <c r="L75" i="11"/>
  <c r="K75" i="11"/>
  <c r="G75" i="11"/>
  <c r="P74" i="11"/>
  <c r="O74" i="11"/>
  <c r="N74" i="11"/>
  <c r="L74" i="11"/>
  <c r="K74" i="11"/>
  <c r="G74" i="11"/>
  <c r="N78" i="11"/>
  <c r="L78" i="11"/>
  <c r="G40" i="11"/>
  <c r="G38" i="11"/>
  <c r="P38" i="11"/>
  <c r="O38" i="11"/>
  <c r="N38" i="11"/>
  <c r="L38" i="11"/>
  <c r="K38" i="11"/>
  <c r="P40" i="11"/>
  <c r="K40" i="11"/>
  <c r="L40" i="11"/>
  <c r="N40" i="11"/>
  <c r="O40" i="11"/>
  <c r="P39" i="11"/>
  <c r="O39" i="11"/>
  <c r="N39" i="11"/>
  <c r="L39" i="11"/>
  <c r="K39" i="11"/>
  <c r="G39" i="11"/>
  <c r="L42" i="11"/>
  <c r="P113" i="11"/>
  <c r="O113" i="11"/>
  <c r="N113" i="11"/>
  <c r="L113" i="11"/>
  <c r="K113" i="11"/>
  <c r="G113" i="11"/>
  <c r="P112" i="11"/>
  <c r="O112" i="11"/>
  <c r="N112" i="11"/>
  <c r="L112" i="11"/>
  <c r="K112" i="11"/>
  <c r="G112" i="11"/>
  <c r="P111" i="11"/>
  <c r="O111" i="11"/>
  <c r="N111" i="11"/>
  <c r="L111" i="11"/>
  <c r="K111" i="11"/>
  <c r="G111" i="11"/>
  <c r="P110" i="11"/>
  <c r="O110" i="11"/>
  <c r="N110" i="11"/>
  <c r="L110" i="11"/>
  <c r="K110" i="11"/>
  <c r="G110" i="11"/>
  <c r="P114" i="11"/>
  <c r="N114" i="11"/>
  <c r="L114" i="11"/>
  <c r="P95" i="11"/>
  <c r="O95" i="11"/>
  <c r="N95" i="11"/>
  <c r="L95" i="11"/>
  <c r="K95" i="11"/>
  <c r="G95" i="11"/>
  <c r="P94" i="11"/>
  <c r="O94" i="11"/>
  <c r="N94" i="11"/>
  <c r="L94" i="11"/>
  <c r="K94" i="11"/>
  <c r="G94" i="11"/>
  <c r="P93" i="11"/>
  <c r="O93" i="11"/>
  <c r="N93" i="11"/>
  <c r="L93" i="11"/>
  <c r="K93" i="11"/>
  <c r="G93" i="11"/>
  <c r="P92" i="11"/>
  <c r="O92" i="11"/>
  <c r="N92" i="11"/>
  <c r="L92" i="11"/>
  <c r="K92" i="11"/>
  <c r="G92" i="11"/>
  <c r="P96" i="11"/>
  <c r="N96" i="11"/>
  <c r="L96" i="11"/>
  <c r="P59" i="11"/>
  <c r="O59" i="11"/>
  <c r="N59" i="11"/>
  <c r="L59" i="11"/>
  <c r="K59" i="11"/>
  <c r="G59" i="11"/>
  <c r="P58" i="11"/>
  <c r="O58" i="11"/>
  <c r="N58" i="11"/>
  <c r="L58" i="11"/>
  <c r="K58" i="11"/>
  <c r="G58" i="11"/>
  <c r="P57" i="11"/>
  <c r="O57" i="11"/>
  <c r="N57" i="11"/>
  <c r="L57" i="11"/>
  <c r="K57" i="11"/>
  <c r="G57" i="11"/>
  <c r="P56" i="11"/>
  <c r="O56" i="11"/>
  <c r="N56" i="11"/>
  <c r="L56" i="11"/>
  <c r="K56" i="11"/>
  <c r="G56" i="11"/>
  <c r="P60" i="11"/>
  <c r="N60" i="11"/>
  <c r="L60" i="11"/>
  <c r="L186" i="2"/>
  <c r="L168" i="2"/>
  <c r="L41" i="11"/>
  <c r="N41" i="2"/>
  <c r="L41" i="2"/>
  <c r="L78" i="2"/>
  <c r="L96" i="2"/>
  <c r="N114" i="2"/>
  <c r="L114" i="2"/>
  <c r="N150" i="2"/>
  <c r="L150" i="2"/>
  <c r="N7" i="11"/>
  <c r="L7" i="11"/>
  <c r="N24" i="11"/>
  <c r="L24" i="11"/>
  <c r="N7" i="2"/>
  <c r="L7" i="2"/>
  <c r="N24" i="2"/>
  <c r="L24" i="2"/>
  <c r="L129" i="11"/>
  <c r="L130" i="11"/>
  <c r="P130" i="11"/>
  <c r="O130" i="11"/>
  <c r="N130" i="11"/>
  <c r="K130" i="11"/>
  <c r="G130" i="11"/>
  <c r="P129" i="11"/>
  <c r="O129" i="11"/>
  <c r="N129" i="11"/>
  <c r="K129" i="11"/>
  <c r="G129" i="11"/>
  <c r="P128" i="11"/>
  <c r="O128" i="11"/>
  <c r="N128" i="11"/>
  <c r="L128" i="11"/>
  <c r="K128" i="11"/>
  <c r="G128" i="11"/>
  <c r="N131" i="11"/>
  <c r="L131" i="11"/>
  <c r="P59" i="2"/>
  <c r="O59" i="2"/>
  <c r="N59" i="2"/>
  <c r="L59" i="2"/>
  <c r="K59" i="2"/>
  <c r="G59" i="2"/>
  <c r="P58" i="2"/>
  <c r="O58" i="2"/>
  <c r="N58" i="2"/>
  <c r="L58" i="2"/>
  <c r="K58" i="2"/>
  <c r="G58" i="2"/>
  <c r="P57" i="2"/>
  <c r="O57" i="2"/>
  <c r="N57" i="2"/>
  <c r="L57" i="2"/>
  <c r="K57" i="2"/>
  <c r="G57" i="2"/>
  <c r="N60" i="2"/>
  <c r="L60" i="2"/>
  <c r="P178" i="2" l="1"/>
  <c r="L178" i="2"/>
  <c r="O25" i="10"/>
  <c r="Q25" i="10"/>
  <c r="P25" i="10"/>
  <c r="L77" i="2"/>
  <c r="L6" i="11"/>
  <c r="N6" i="11"/>
  <c r="L23" i="11"/>
  <c r="N23" i="11"/>
  <c r="L6" i="2"/>
  <c r="N6" i="2"/>
  <c r="L23" i="2"/>
  <c r="N23" i="2"/>
  <c r="F23" i="10"/>
  <c r="F23" i="1"/>
  <c r="M4" i="16" l="1"/>
  <c r="L4" i="16"/>
  <c r="K4" i="16"/>
  <c r="I4" i="16"/>
  <c r="H4" i="16"/>
  <c r="L15" i="16" l="1"/>
  <c r="I15" i="16"/>
  <c r="H15" i="16"/>
  <c r="K15" i="16"/>
  <c r="M15" i="16"/>
  <c r="L148" i="2"/>
  <c r="N5" i="11"/>
  <c r="L5" i="11"/>
  <c r="N22" i="11"/>
  <c r="L22" i="11"/>
  <c r="N5" i="2"/>
  <c r="L5" i="2"/>
  <c r="N22" i="2"/>
  <c r="L22" i="2"/>
  <c r="L76" i="2"/>
  <c r="L88" i="2" s="1"/>
  <c r="N76" i="2"/>
  <c r="N88" i="2" s="1"/>
  <c r="K76" i="2"/>
  <c r="K88" i="2" s="1"/>
  <c r="K20" i="16"/>
  <c r="K32" i="16" s="1"/>
  <c r="F22" i="1" l="1"/>
  <c r="F22" i="10"/>
  <c r="M29" i="17" l="1"/>
  <c r="L29" i="17"/>
  <c r="I29" i="17"/>
  <c r="H29" i="17"/>
  <c r="H40" i="17" l="1"/>
  <c r="L40" i="17"/>
  <c r="I40" i="17"/>
  <c r="M40" i="17"/>
  <c r="H23" i="17"/>
  <c r="I23" i="17"/>
  <c r="K23" i="17"/>
  <c r="L23" i="17"/>
  <c r="M23" i="17"/>
  <c r="O23" i="17"/>
  <c r="P23" i="17"/>
  <c r="F23" i="17"/>
  <c r="N183" i="2"/>
  <c r="L183" i="2"/>
  <c r="L75" i="2"/>
  <c r="L93" i="2"/>
  <c r="L106" i="2" s="1"/>
  <c r="N111" i="2"/>
  <c r="L111" i="2"/>
  <c r="N4" i="11"/>
  <c r="L4" i="11"/>
  <c r="N21" i="11"/>
  <c r="L21" i="11"/>
  <c r="N4" i="2"/>
  <c r="L4" i="2"/>
  <c r="N21" i="2"/>
  <c r="L21" i="2"/>
  <c r="F21" i="10" l="1"/>
  <c r="F21" i="1"/>
  <c r="H87" i="11" l="1"/>
  <c r="I87" i="11"/>
  <c r="K87" i="11"/>
  <c r="L87" i="11"/>
  <c r="M87" i="11"/>
  <c r="N87" i="11"/>
  <c r="O87" i="11"/>
  <c r="P87" i="11"/>
  <c r="G87" i="11"/>
  <c r="H124" i="2"/>
  <c r="I124" i="2"/>
  <c r="K124" i="2"/>
  <c r="L124" i="2"/>
  <c r="M124" i="2"/>
  <c r="N124" i="2"/>
  <c r="O124" i="2"/>
  <c r="P124" i="2"/>
  <c r="J104" i="2"/>
  <c r="H70" i="2"/>
  <c r="I70" i="2"/>
  <c r="K70" i="2"/>
  <c r="L70" i="2"/>
  <c r="M70" i="2"/>
  <c r="N70" i="2"/>
  <c r="O70" i="2"/>
  <c r="P70" i="2"/>
  <c r="G70" i="2"/>
  <c r="H67" i="10"/>
  <c r="I67" i="10"/>
  <c r="J67" i="10"/>
  <c r="K67" i="10"/>
  <c r="L67" i="10"/>
  <c r="F67" i="10"/>
  <c r="F46" i="10"/>
  <c r="F47" i="10"/>
  <c r="F48" i="10"/>
  <c r="F49" i="10"/>
  <c r="F106" i="10" s="1"/>
  <c r="F38" i="10"/>
  <c r="F39" i="10"/>
  <c r="F40" i="10"/>
  <c r="F41" i="10"/>
  <c r="F42" i="10"/>
  <c r="F43" i="10"/>
  <c r="F44" i="10"/>
  <c r="F45" i="10"/>
  <c r="P42" i="10" l="1"/>
  <c r="O42" i="10"/>
  <c r="Q42" i="10"/>
  <c r="G66" i="10"/>
  <c r="G12" i="15" l="1"/>
  <c r="D12" i="15"/>
  <c r="C12" i="15"/>
  <c r="U85" i="11" l="1"/>
  <c r="Q85" i="11"/>
  <c r="R85" i="11" s="1"/>
  <c r="W85" i="11"/>
  <c r="V85" i="11"/>
  <c r="T85" i="11"/>
  <c r="S85" i="11"/>
  <c r="J85" i="11"/>
  <c r="U67" i="11"/>
  <c r="Q67" i="11"/>
  <c r="R67" i="11"/>
  <c r="W67" i="11"/>
  <c r="V67" i="11"/>
  <c r="T67" i="11"/>
  <c r="S67" i="11"/>
  <c r="J67" i="11"/>
  <c r="W49" i="11"/>
  <c r="V49" i="11"/>
  <c r="U49" i="11"/>
  <c r="T49" i="11"/>
  <c r="S49" i="11"/>
  <c r="J49" i="11"/>
  <c r="U49" i="2"/>
  <c r="Q49" i="2"/>
  <c r="R49" i="2" s="1"/>
  <c r="W49" i="2"/>
  <c r="V49" i="2"/>
  <c r="T49" i="2"/>
  <c r="S49" i="2"/>
  <c r="J49" i="2"/>
  <c r="U68" i="2"/>
  <c r="Q68" i="2"/>
  <c r="R68" i="2" s="1"/>
  <c r="W68" i="2"/>
  <c r="V68" i="2"/>
  <c r="T68" i="2"/>
  <c r="S68" i="2"/>
  <c r="J68" i="2"/>
  <c r="Q158" i="2"/>
  <c r="R158" i="2" s="1"/>
  <c r="W158" i="2"/>
  <c r="V158" i="2"/>
  <c r="U158" i="2"/>
  <c r="T158" i="2"/>
  <c r="S158" i="2"/>
  <c r="J158" i="2"/>
  <c r="U122" i="2"/>
  <c r="Q122" i="2"/>
  <c r="R122" i="2" s="1"/>
  <c r="W122" i="2"/>
  <c r="V122" i="2"/>
  <c r="T122" i="2"/>
  <c r="S122" i="2"/>
  <c r="J122" i="2"/>
  <c r="Q140" i="2"/>
  <c r="R140" i="2" s="1"/>
  <c r="W140" i="2"/>
  <c r="V140" i="2"/>
  <c r="U140" i="2"/>
  <c r="T140" i="2"/>
  <c r="S140" i="2"/>
  <c r="U139" i="11"/>
  <c r="W139" i="11"/>
  <c r="V139" i="11"/>
  <c r="Q139" i="11"/>
  <c r="R139" i="11" s="1"/>
  <c r="T139" i="11"/>
  <c r="S139" i="11"/>
  <c r="W103" i="11"/>
  <c r="V103" i="11"/>
  <c r="Q103" i="11"/>
  <c r="R103" i="11" s="1"/>
  <c r="T103" i="11"/>
  <c r="S103" i="11"/>
  <c r="J103" i="11"/>
  <c r="W121" i="11"/>
  <c r="V121" i="11"/>
  <c r="Q121" i="11"/>
  <c r="R121" i="11" s="1"/>
  <c r="T121" i="11"/>
  <c r="S121" i="11"/>
  <c r="J121" i="11"/>
  <c r="U194" i="2"/>
  <c r="Q194" i="2"/>
  <c r="R194" i="2" s="1"/>
  <c r="W194" i="2"/>
  <c r="V194" i="2"/>
  <c r="T194" i="2"/>
  <c r="S194" i="2"/>
  <c r="U121" i="11" l="1"/>
  <c r="U103" i="11"/>
  <c r="Q49" i="11"/>
  <c r="R49" i="11" s="1"/>
  <c r="Q157" i="2"/>
  <c r="R157" i="2" s="1"/>
  <c r="S157" i="2"/>
  <c r="T157" i="2"/>
  <c r="U157" i="2"/>
  <c r="V157" i="2"/>
  <c r="W157" i="2"/>
  <c r="J157" i="2"/>
  <c r="O66" i="10" l="1"/>
  <c r="P66" i="10"/>
  <c r="Q66" i="10"/>
  <c r="M66" i="10"/>
  <c r="N66" i="10" s="1"/>
  <c r="O11" i="10" l="1"/>
  <c r="P11" i="10"/>
  <c r="Q11" i="10"/>
  <c r="H101" i="10" l="1"/>
  <c r="L106" i="10"/>
  <c r="L105" i="10"/>
  <c r="L104" i="10"/>
  <c r="L103" i="10"/>
  <c r="L102" i="10"/>
  <c r="L101" i="10"/>
  <c r="L100" i="10"/>
  <c r="K106" i="10"/>
  <c r="K105" i="10"/>
  <c r="K104" i="10"/>
  <c r="K103" i="10"/>
  <c r="K102" i="10"/>
  <c r="K101" i="10"/>
  <c r="K100" i="10"/>
  <c r="L99" i="10"/>
  <c r="J100" i="10"/>
  <c r="J101" i="10"/>
  <c r="J102" i="10"/>
  <c r="J103" i="10"/>
  <c r="J104" i="10"/>
  <c r="J105" i="10"/>
  <c r="J106" i="10"/>
  <c r="I100" i="10"/>
  <c r="I101" i="10"/>
  <c r="I102" i="10"/>
  <c r="I103" i="10"/>
  <c r="I104" i="10"/>
  <c r="I105" i="10"/>
  <c r="I106" i="10"/>
  <c r="H100" i="10"/>
  <c r="H102" i="10"/>
  <c r="H103" i="10"/>
  <c r="H104" i="10"/>
  <c r="H105" i="10"/>
  <c r="H106" i="10"/>
  <c r="F100" i="10"/>
  <c r="F101" i="10"/>
  <c r="F102" i="10"/>
  <c r="F103" i="10"/>
  <c r="F104" i="10"/>
  <c r="F105" i="10"/>
  <c r="O106" i="10"/>
  <c r="O102" i="10" l="1"/>
  <c r="M106" i="10"/>
  <c r="Q106" i="10"/>
  <c r="P105" i="10"/>
  <c r="O105" i="10"/>
  <c r="Q105" i="10"/>
  <c r="Q104" i="10"/>
  <c r="O104" i="10"/>
  <c r="P104" i="10"/>
  <c r="P106" i="10"/>
  <c r="Q103" i="10"/>
  <c r="P103" i="10"/>
  <c r="O103" i="10"/>
  <c r="M105" i="10"/>
  <c r="Q101" i="10"/>
  <c r="M101" i="10"/>
  <c r="Q102" i="10"/>
  <c r="M104" i="10"/>
  <c r="O101" i="10"/>
  <c r="M102" i="10"/>
  <c r="P101" i="10"/>
  <c r="N101" i="10"/>
  <c r="M103" i="10"/>
  <c r="Q100" i="10"/>
  <c r="M100" i="10"/>
  <c r="P100" i="10"/>
  <c r="O100" i="10"/>
  <c r="P102" i="10"/>
  <c r="N106" i="10" l="1"/>
  <c r="N103" i="10"/>
  <c r="N100" i="10"/>
  <c r="N104" i="10"/>
  <c r="N105" i="10"/>
  <c r="N102" i="10"/>
  <c r="B6" i="1" l="1"/>
  <c r="B7" i="1"/>
  <c r="B8" i="1" s="1"/>
  <c r="B9" i="1" s="1"/>
  <c r="B10" i="1" s="1"/>
  <c r="B11" i="1" s="1"/>
  <c r="B12" i="1" s="1"/>
  <c r="B13" i="1" s="1"/>
  <c r="B14" i="1" s="1"/>
  <c r="B15" i="1" s="1"/>
  <c r="B5" i="1"/>
  <c r="D141" i="5" l="1"/>
  <c r="F63" i="17" l="1"/>
  <c r="T12" i="16"/>
  <c r="U12" i="16"/>
  <c r="V12" i="16"/>
  <c r="W12" i="16"/>
  <c r="G31" i="16" l="1"/>
  <c r="N31" i="16"/>
  <c r="T31" i="16"/>
  <c r="U31" i="16"/>
  <c r="V31" i="16"/>
  <c r="W31" i="16"/>
  <c r="J31" i="16"/>
  <c r="Q31" i="16" l="1"/>
  <c r="S31" i="16"/>
  <c r="W57" i="17"/>
  <c r="V57" i="17"/>
  <c r="J57" i="17"/>
  <c r="T57" i="17"/>
  <c r="G57" i="17"/>
  <c r="W56" i="17"/>
  <c r="V56" i="17"/>
  <c r="J56" i="17"/>
  <c r="T56" i="17"/>
  <c r="G56" i="17"/>
  <c r="R31" i="16" l="1"/>
  <c r="N56" i="17"/>
  <c r="S56" i="17" s="1"/>
  <c r="N57" i="17"/>
  <c r="U57" i="17"/>
  <c r="Q56" i="17"/>
  <c r="R56" i="17" s="1"/>
  <c r="U56" i="17"/>
  <c r="H37" i="16"/>
  <c r="I37" i="16"/>
  <c r="K37" i="16"/>
  <c r="L37" i="16"/>
  <c r="M37" i="16"/>
  <c r="O37" i="16"/>
  <c r="P37" i="16"/>
  <c r="G13" i="16"/>
  <c r="J13" i="16"/>
  <c r="N13" i="16"/>
  <c r="Q13" i="16" s="1"/>
  <c r="R13" i="16" s="1"/>
  <c r="T13" i="16"/>
  <c r="U13" i="16"/>
  <c r="V13" i="16"/>
  <c r="W13" i="16"/>
  <c r="W30" i="16"/>
  <c r="N30" i="16"/>
  <c r="S30" i="16" s="1"/>
  <c r="U30" i="16"/>
  <c r="T30" i="16"/>
  <c r="V30" i="16"/>
  <c r="J30" i="16"/>
  <c r="G30" i="16"/>
  <c r="S13" i="16" l="1"/>
  <c r="S57" i="17"/>
  <c r="Q57" i="17"/>
  <c r="R57" i="17" s="1"/>
  <c r="Q30" i="16"/>
  <c r="R30" i="16" s="1"/>
  <c r="M9" i="10" l="1"/>
  <c r="D152" i="5" l="1"/>
  <c r="D151" i="5"/>
  <c r="D150" i="5"/>
  <c r="D149" i="5"/>
  <c r="D148" i="5"/>
  <c r="D147" i="5"/>
  <c r="D146" i="5"/>
  <c r="D145" i="5"/>
  <c r="D144" i="5"/>
  <c r="D143" i="5"/>
  <c r="D142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C143" i="5"/>
  <c r="C144" i="5"/>
  <c r="C145" i="5"/>
  <c r="C146" i="5"/>
  <c r="C147" i="5"/>
  <c r="C148" i="5"/>
  <c r="C149" i="5"/>
  <c r="C150" i="5"/>
  <c r="C151" i="5"/>
  <c r="C152" i="5"/>
  <c r="C142" i="5"/>
  <c r="C141" i="5"/>
  <c r="E128" i="5"/>
  <c r="D128" i="5"/>
  <c r="C128" i="5"/>
  <c r="H127" i="5"/>
  <c r="G127" i="5"/>
  <c r="F127" i="5"/>
  <c r="H126" i="5"/>
  <c r="G126" i="5"/>
  <c r="F126" i="5"/>
  <c r="H125" i="5"/>
  <c r="G125" i="5"/>
  <c r="F125" i="5"/>
  <c r="H124" i="5"/>
  <c r="G124" i="5"/>
  <c r="F124" i="5"/>
  <c r="H123" i="5"/>
  <c r="G123" i="5"/>
  <c r="F123" i="5"/>
  <c r="H122" i="5"/>
  <c r="G122" i="5"/>
  <c r="F122" i="5"/>
  <c r="H121" i="5"/>
  <c r="G121" i="5"/>
  <c r="F121" i="5"/>
  <c r="H120" i="5"/>
  <c r="G120" i="5"/>
  <c r="F120" i="5"/>
  <c r="H119" i="5"/>
  <c r="G119" i="5"/>
  <c r="F119" i="5"/>
  <c r="H118" i="5"/>
  <c r="G118" i="5"/>
  <c r="F118" i="5"/>
  <c r="H117" i="5"/>
  <c r="G117" i="5"/>
  <c r="F117" i="5"/>
  <c r="H116" i="5"/>
  <c r="G116" i="5"/>
  <c r="F116" i="5"/>
  <c r="G75" i="10"/>
  <c r="H128" i="5" l="1"/>
  <c r="F128" i="5"/>
  <c r="G128" i="5"/>
  <c r="E112" i="5" l="1"/>
  <c r="D112" i="5"/>
  <c r="C112" i="5"/>
  <c r="H111" i="5"/>
  <c r="G111" i="5"/>
  <c r="F111" i="5"/>
  <c r="H110" i="5"/>
  <c r="G110" i="5"/>
  <c r="F110" i="5"/>
  <c r="H109" i="5"/>
  <c r="G109" i="5"/>
  <c r="F109" i="5"/>
  <c r="H108" i="5"/>
  <c r="G108" i="5"/>
  <c r="F108" i="5"/>
  <c r="H107" i="5"/>
  <c r="G107" i="5"/>
  <c r="F107" i="5"/>
  <c r="H106" i="5"/>
  <c r="G106" i="5"/>
  <c r="F106" i="5"/>
  <c r="H105" i="5"/>
  <c r="G105" i="5"/>
  <c r="F105" i="5"/>
  <c r="H104" i="5"/>
  <c r="G104" i="5"/>
  <c r="F104" i="5"/>
  <c r="H103" i="5"/>
  <c r="G103" i="5"/>
  <c r="F103" i="5"/>
  <c r="H102" i="5"/>
  <c r="G102" i="5"/>
  <c r="F102" i="5"/>
  <c r="H101" i="5"/>
  <c r="G101" i="5"/>
  <c r="F101" i="5"/>
  <c r="H100" i="5"/>
  <c r="G100" i="5"/>
  <c r="F100" i="5"/>
  <c r="H112" i="5" l="1"/>
  <c r="F112" i="5"/>
  <c r="G112" i="5"/>
  <c r="J121" i="2"/>
  <c r="J75" i="2" l="1"/>
  <c r="Q75" i="2"/>
  <c r="S75" i="2"/>
  <c r="T75" i="2"/>
  <c r="U75" i="2"/>
  <c r="V75" i="2"/>
  <c r="W75" i="2"/>
  <c r="R75" i="2" l="1"/>
  <c r="W55" i="17"/>
  <c r="V55" i="17"/>
  <c r="J55" i="17"/>
  <c r="T55" i="17"/>
  <c r="G55" i="17"/>
  <c r="N55" i="17" l="1"/>
  <c r="U55" i="17"/>
  <c r="W39" i="17"/>
  <c r="N39" i="17"/>
  <c r="N69" i="17" s="1"/>
  <c r="U39" i="17"/>
  <c r="T39" i="17"/>
  <c r="V39" i="17"/>
  <c r="J39" i="17"/>
  <c r="J69" i="17" s="1"/>
  <c r="G39" i="17"/>
  <c r="G69" i="17" s="1"/>
  <c r="W29" i="16"/>
  <c r="N29" i="16"/>
  <c r="Q29" i="16" s="1"/>
  <c r="R29" i="16" s="1"/>
  <c r="U29" i="16"/>
  <c r="T29" i="16"/>
  <c r="V29" i="16"/>
  <c r="J29" i="16"/>
  <c r="G29" i="16"/>
  <c r="Q39" i="17" l="1"/>
  <c r="Q69" i="17" s="1"/>
  <c r="S39" i="17"/>
  <c r="S29" i="16"/>
  <c r="S55" i="17"/>
  <c r="Q55" i="17"/>
  <c r="R55" i="17" s="1"/>
  <c r="K60" i="14"/>
  <c r="L60" i="14"/>
  <c r="M60" i="14"/>
  <c r="I60" i="14"/>
  <c r="H60" i="14"/>
  <c r="G60" i="14"/>
  <c r="R39" i="17" l="1"/>
  <c r="K59" i="14"/>
  <c r="L59" i="14"/>
  <c r="M59" i="14"/>
  <c r="G59" i="14"/>
  <c r="H59" i="14"/>
  <c r="I59" i="14"/>
  <c r="W28" i="16" l="1"/>
  <c r="N28" i="16"/>
  <c r="Q28" i="16" s="1"/>
  <c r="R28" i="16" s="1"/>
  <c r="U28" i="16"/>
  <c r="T28" i="16"/>
  <c r="V28" i="16"/>
  <c r="J28" i="16"/>
  <c r="G28" i="16"/>
  <c r="W54" i="17"/>
  <c r="V54" i="17"/>
  <c r="J54" i="17"/>
  <c r="T54" i="17"/>
  <c r="G54" i="17"/>
  <c r="W21" i="17"/>
  <c r="N21" i="17"/>
  <c r="S21" i="17" s="1"/>
  <c r="U21" i="17"/>
  <c r="T21" i="17"/>
  <c r="V21" i="17"/>
  <c r="J21" i="17"/>
  <c r="G21" i="17"/>
  <c r="T38" i="17"/>
  <c r="U38" i="17"/>
  <c r="V38" i="17"/>
  <c r="W38" i="17"/>
  <c r="N38" i="17"/>
  <c r="Q38" i="17" s="1"/>
  <c r="R38" i="17" s="1"/>
  <c r="J38" i="17"/>
  <c r="G38" i="17"/>
  <c r="S28" i="16" l="1"/>
  <c r="N54" i="17"/>
  <c r="Q21" i="17"/>
  <c r="R21" i="17" s="1"/>
  <c r="U54" i="17"/>
  <c r="S38" i="17"/>
  <c r="Q175" i="2"/>
  <c r="R175" i="2" s="1"/>
  <c r="S175" i="2"/>
  <c r="T175" i="2"/>
  <c r="U175" i="2"/>
  <c r="V175" i="2"/>
  <c r="W175" i="2"/>
  <c r="J175" i="2"/>
  <c r="J135" i="11"/>
  <c r="Q120" i="2"/>
  <c r="R120" i="2" s="1"/>
  <c r="S120" i="2"/>
  <c r="T120" i="2"/>
  <c r="U120" i="2"/>
  <c r="V120" i="2"/>
  <c r="W120" i="2"/>
  <c r="J120" i="2"/>
  <c r="S85" i="2"/>
  <c r="T85" i="2"/>
  <c r="U85" i="2"/>
  <c r="V85" i="2"/>
  <c r="W85" i="2"/>
  <c r="Q85" i="2"/>
  <c r="R85" i="2" s="1"/>
  <c r="J85" i="2"/>
  <c r="Q156" i="2"/>
  <c r="R156" i="2" s="1"/>
  <c r="W156" i="2"/>
  <c r="V156" i="2"/>
  <c r="U156" i="2"/>
  <c r="T156" i="2"/>
  <c r="S156" i="2"/>
  <c r="J156" i="2"/>
  <c r="Q138" i="2"/>
  <c r="R138" i="2" s="1"/>
  <c r="W138" i="2"/>
  <c r="V138" i="2"/>
  <c r="U138" i="2"/>
  <c r="T138" i="2"/>
  <c r="S138" i="2"/>
  <c r="J138" i="2"/>
  <c r="S54" i="17" l="1"/>
  <c r="Q54" i="17"/>
  <c r="R54" i="17" s="1"/>
  <c r="W53" i="17"/>
  <c r="V53" i="17"/>
  <c r="J53" i="17"/>
  <c r="G53" i="17"/>
  <c r="W20" i="17"/>
  <c r="N20" i="17"/>
  <c r="Q20" i="17" s="1"/>
  <c r="R20" i="17" s="1"/>
  <c r="U20" i="17"/>
  <c r="T20" i="17"/>
  <c r="V20" i="17"/>
  <c r="J20" i="17"/>
  <c r="G20" i="17"/>
  <c r="T37" i="17"/>
  <c r="U37" i="17"/>
  <c r="N37" i="17"/>
  <c r="J37" i="17"/>
  <c r="M58" i="14"/>
  <c r="L58" i="14"/>
  <c r="K58" i="14"/>
  <c r="I58" i="14"/>
  <c r="H58" i="14"/>
  <c r="G58" i="14"/>
  <c r="P13" i="14"/>
  <c r="J14" i="14"/>
  <c r="J15" i="14"/>
  <c r="J12" i="14"/>
  <c r="J13" i="14"/>
  <c r="Q9" i="14"/>
  <c r="Q11" i="14"/>
  <c r="Q12" i="14"/>
  <c r="V37" i="17" l="1"/>
  <c r="G37" i="17"/>
  <c r="W37" i="17"/>
  <c r="T53" i="17"/>
  <c r="N53" i="17"/>
  <c r="S53" i="17" s="1"/>
  <c r="Q37" i="17"/>
  <c r="Q53" i="17"/>
  <c r="R53" i="17" s="1"/>
  <c r="S20" i="17"/>
  <c r="U53" i="17"/>
  <c r="S37" i="17"/>
  <c r="Q60" i="14"/>
  <c r="Q59" i="14"/>
  <c r="Q58" i="14"/>
  <c r="M57" i="14"/>
  <c r="L57" i="14"/>
  <c r="K57" i="14"/>
  <c r="I57" i="14"/>
  <c r="H57" i="14"/>
  <c r="G57" i="14"/>
  <c r="Q57" i="14" l="1"/>
  <c r="R37" i="17"/>
  <c r="W27" i="16"/>
  <c r="N27" i="16"/>
  <c r="U27" i="16"/>
  <c r="T27" i="16"/>
  <c r="V27" i="16"/>
  <c r="J27" i="16"/>
  <c r="G27" i="16"/>
  <c r="V49" i="17"/>
  <c r="V50" i="17"/>
  <c r="V51" i="17"/>
  <c r="V52" i="17"/>
  <c r="W52" i="17"/>
  <c r="J52" i="17"/>
  <c r="G52" i="17"/>
  <c r="N12" i="16"/>
  <c r="S12" i="16" s="1"/>
  <c r="W19" i="17"/>
  <c r="N19" i="17"/>
  <c r="Q19" i="17" s="1"/>
  <c r="R19" i="17" s="1"/>
  <c r="U19" i="17"/>
  <c r="T19" i="17"/>
  <c r="V19" i="17"/>
  <c r="J19" i="17"/>
  <c r="G19" i="17"/>
  <c r="T52" i="17" l="1"/>
  <c r="Q27" i="16"/>
  <c r="S27" i="16"/>
  <c r="N52" i="17"/>
  <c r="S52" i="17" s="1"/>
  <c r="S19" i="17"/>
  <c r="U52" i="17"/>
  <c r="K56" i="14"/>
  <c r="L56" i="14"/>
  <c r="M56" i="14"/>
  <c r="G56" i="14"/>
  <c r="H56" i="14"/>
  <c r="I56" i="14"/>
  <c r="Q56" i="14" l="1"/>
  <c r="Q52" i="17"/>
  <c r="R52" i="17" s="1"/>
  <c r="R27" i="16"/>
  <c r="W36" i="17"/>
  <c r="N36" i="17"/>
  <c r="U36" i="17"/>
  <c r="T36" i="17"/>
  <c r="V36" i="17"/>
  <c r="J36" i="17"/>
  <c r="G36" i="17"/>
  <c r="W18" i="17"/>
  <c r="N18" i="17"/>
  <c r="Q18" i="17" s="1"/>
  <c r="R18" i="17" s="1"/>
  <c r="U18" i="17"/>
  <c r="T18" i="17"/>
  <c r="V18" i="17"/>
  <c r="J18" i="17"/>
  <c r="G18" i="17"/>
  <c r="W35" i="17"/>
  <c r="N35" i="17"/>
  <c r="Q35" i="17" s="1"/>
  <c r="R35" i="17" s="1"/>
  <c r="U35" i="17"/>
  <c r="T35" i="17"/>
  <c r="V35" i="17"/>
  <c r="J35" i="17"/>
  <c r="G35" i="17"/>
  <c r="Q12" i="16"/>
  <c r="R12" i="16" s="1"/>
  <c r="J12" i="16"/>
  <c r="G12" i="16"/>
  <c r="T11" i="16"/>
  <c r="U11" i="16"/>
  <c r="V11" i="16"/>
  <c r="W11" i="16"/>
  <c r="N11" i="16"/>
  <c r="J11" i="16"/>
  <c r="G11" i="16"/>
  <c r="W51" i="17"/>
  <c r="J51" i="17"/>
  <c r="G51" i="17"/>
  <c r="W26" i="16"/>
  <c r="N26" i="16"/>
  <c r="U26" i="16"/>
  <c r="T26" i="16"/>
  <c r="V26" i="16"/>
  <c r="J26" i="16"/>
  <c r="G26" i="16"/>
  <c r="Q26" i="16" l="1"/>
  <c r="S26" i="16"/>
  <c r="Q11" i="16"/>
  <c r="R11" i="16" s="1"/>
  <c r="T51" i="17"/>
  <c r="U51" i="17"/>
  <c r="S36" i="17"/>
  <c r="N51" i="17"/>
  <c r="S35" i="17"/>
  <c r="Q36" i="17"/>
  <c r="S18" i="17"/>
  <c r="S11" i="16"/>
  <c r="M55" i="14"/>
  <c r="L55" i="14"/>
  <c r="K55" i="14"/>
  <c r="I55" i="14"/>
  <c r="H55" i="14"/>
  <c r="G55" i="14"/>
  <c r="M149" i="11"/>
  <c r="I149" i="11"/>
  <c r="H149" i="11"/>
  <c r="W25" i="16"/>
  <c r="N25" i="16"/>
  <c r="S25" i="16" s="1"/>
  <c r="U25" i="16"/>
  <c r="T25" i="16"/>
  <c r="V25" i="16"/>
  <c r="J25" i="16"/>
  <c r="G25" i="16"/>
  <c r="W50" i="17"/>
  <c r="J50" i="17"/>
  <c r="G50" i="17"/>
  <c r="W17" i="17"/>
  <c r="N17" i="17"/>
  <c r="U17" i="17"/>
  <c r="T17" i="17"/>
  <c r="V17" i="17"/>
  <c r="J17" i="17"/>
  <c r="G17" i="17"/>
  <c r="W34" i="17"/>
  <c r="N34" i="17"/>
  <c r="U34" i="17"/>
  <c r="T34" i="17"/>
  <c r="V34" i="17"/>
  <c r="J34" i="17"/>
  <c r="G34" i="17"/>
  <c r="M205" i="2"/>
  <c r="I205" i="2"/>
  <c r="H205" i="2"/>
  <c r="Q55" i="14" l="1"/>
  <c r="R26" i="16"/>
  <c r="R36" i="17"/>
  <c r="Q34" i="17"/>
  <c r="S51" i="17"/>
  <c r="Q51" i="17"/>
  <c r="Q17" i="17"/>
  <c r="S34" i="17"/>
  <c r="T50" i="17"/>
  <c r="N50" i="17"/>
  <c r="Q25" i="16"/>
  <c r="U50" i="17"/>
  <c r="S17" i="17"/>
  <c r="P8" i="14"/>
  <c r="Q8" i="14"/>
  <c r="R51" i="17" l="1"/>
  <c r="R25" i="16"/>
  <c r="R34" i="17"/>
  <c r="R17" i="17"/>
  <c r="S50" i="17"/>
  <c r="Q50" i="17"/>
  <c r="R50" i="17" l="1"/>
  <c r="K53" i="14"/>
  <c r="L53" i="14"/>
  <c r="M53" i="14"/>
  <c r="K54" i="14"/>
  <c r="L54" i="14"/>
  <c r="M54" i="14"/>
  <c r="G53" i="14"/>
  <c r="H53" i="14"/>
  <c r="I53" i="14"/>
  <c r="Q53" i="14" s="1"/>
  <c r="G54" i="14"/>
  <c r="H54" i="14"/>
  <c r="I54" i="14"/>
  <c r="W24" i="16"/>
  <c r="N24" i="16"/>
  <c r="U24" i="16"/>
  <c r="T24" i="16"/>
  <c r="V24" i="16"/>
  <c r="J24" i="16"/>
  <c r="G24" i="16"/>
  <c r="T23" i="16"/>
  <c r="U23" i="16"/>
  <c r="V23" i="16"/>
  <c r="W23" i="16"/>
  <c r="N23" i="16"/>
  <c r="J23" i="16"/>
  <c r="G23" i="16"/>
  <c r="W49" i="17"/>
  <c r="J49" i="17"/>
  <c r="T49" i="17"/>
  <c r="G49" i="17"/>
  <c r="W16" i="17"/>
  <c r="N16" i="17"/>
  <c r="U16" i="17"/>
  <c r="T16" i="17"/>
  <c r="V16" i="17"/>
  <c r="J16" i="17"/>
  <c r="G16" i="17"/>
  <c r="W33" i="17"/>
  <c r="N33" i="17"/>
  <c r="Q33" i="17" s="1"/>
  <c r="R33" i="17" s="1"/>
  <c r="U33" i="17"/>
  <c r="T33" i="17"/>
  <c r="V33" i="17"/>
  <c r="J33" i="17"/>
  <c r="G33" i="17"/>
  <c r="Q54" i="14" l="1"/>
  <c r="Q16" i="17"/>
  <c r="Q24" i="16"/>
  <c r="R24" i="16" s="1"/>
  <c r="K148" i="11"/>
  <c r="I148" i="11"/>
  <c r="M148" i="11"/>
  <c r="G148" i="11"/>
  <c r="O148" i="11"/>
  <c r="L148" i="11"/>
  <c r="H148" i="11"/>
  <c r="N49" i="17"/>
  <c r="Q23" i="16"/>
  <c r="S24" i="16"/>
  <c r="S23" i="16"/>
  <c r="U49" i="17"/>
  <c r="S33" i="17"/>
  <c r="S16" i="17"/>
  <c r="H33" i="11"/>
  <c r="I33" i="11"/>
  <c r="K33" i="11"/>
  <c r="L33" i="11"/>
  <c r="M33" i="11"/>
  <c r="N33" i="11"/>
  <c r="O33" i="11"/>
  <c r="P33" i="11"/>
  <c r="G33" i="11"/>
  <c r="H16" i="11"/>
  <c r="I16" i="11"/>
  <c r="K16" i="11"/>
  <c r="L16" i="11"/>
  <c r="M16" i="11"/>
  <c r="N16" i="11"/>
  <c r="O16" i="11"/>
  <c r="P16" i="11"/>
  <c r="G16" i="11"/>
  <c r="H16" i="2"/>
  <c r="I16" i="2"/>
  <c r="K16" i="2"/>
  <c r="M16" i="2"/>
  <c r="N16" i="2"/>
  <c r="O16" i="2"/>
  <c r="P16" i="2"/>
  <c r="H33" i="2"/>
  <c r="I33" i="2"/>
  <c r="K33" i="2"/>
  <c r="M33" i="2"/>
  <c r="N33" i="2"/>
  <c r="O33" i="2"/>
  <c r="P33" i="2"/>
  <c r="G33" i="2"/>
  <c r="G16" i="2"/>
  <c r="H168" i="11" l="1"/>
  <c r="H167" i="11"/>
  <c r="H166" i="11"/>
  <c r="H165" i="11"/>
  <c r="H164" i="11"/>
  <c r="H162" i="11"/>
  <c r="H160" i="11"/>
  <c r="H158" i="11"/>
  <c r="H163" i="11"/>
  <c r="H161" i="11"/>
  <c r="H159" i="11"/>
  <c r="H157" i="11"/>
  <c r="O167" i="11"/>
  <c r="O166" i="11"/>
  <c r="O165" i="11"/>
  <c r="O164" i="11"/>
  <c r="O163" i="11"/>
  <c r="O162" i="11"/>
  <c r="O161" i="11"/>
  <c r="O160" i="11"/>
  <c r="O159" i="11"/>
  <c r="O158" i="11"/>
  <c r="O157" i="11"/>
  <c r="O168" i="11"/>
  <c r="M167" i="11"/>
  <c r="M166" i="11"/>
  <c r="M165" i="11"/>
  <c r="M164" i="11"/>
  <c r="M163" i="11"/>
  <c r="M162" i="11"/>
  <c r="M161" i="11"/>
  <c r="M160" i="11"/>
  <c r="M159" i="11"/>
  <c r="M158" i="11"/>
  <c r="M157" i="11"/>
  <c r="M168" i="11"/>
  <c r="K167" i="11"/>
  <c r="K166" i="11"/>
  <c r="K165" i="11"/>
  <c r="K164" i="11"/>
  <c r="K163" i="11"/>
  <c r="K162" i="11"/>
  <c r="K161" i="11"/>
  <c r="K160" i="11"/>
  <c r="K159" i="11"/>
  <c r="K158" i="11"/>
  <c r="K157" i="11"/>
  <c r="K168" i="11"/>
  <c r="L168" i="11"/>
  <c r="L167" i="11"/>
  <c r="L166" i="11"/>
  <c r="L165" i="11"/>
  <c r="L164" i="11"/>
  <c r="L162" i="11"/>
  <c r="L160" i="11"/>
  <c r="L158" i="11"/>
  <c r="L163" i="11"/>
  <c r="L161" i="11"/>
  <c r="L159" i="11"/>
  <c r="L157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G168" i="11"/>
  <c r="G166" i="11"/>
  <c r="G164" i="11"/>
  <c r="G162" i="11"/>
  <c r="G160" i="11"/>
  <c r="G158" i="11"/>
  <c r="G167" i="11"/>
  <c r="G165" i="11"/>
  <c r="G163" i="11"/>
  <c r="G161" i="11"/>
  <c r="G159" i="11"/>
  <c r="G157" i="11"/>
  <c r="Q49" i="17"/>
  <c r="R16" i="17"/>
  <c r="H204" i="2"/>
  <c r="I204" i="2"/>
  <c r="K204" i="2"/>
  <c r="M204" i="2"/>
  <c r="P203" i="2"/>
  <c r="N203" i="2"/>
  <c r="K203" i="2"/>
  <c r="O203" i="2"/>
  <c r="M203" i="2"/>
  <c r="H203" i="2"/>
  <c r="I203" i="2"/>
  <c r="K147" i="11"/>
  <c r="H147" i="11"/>
  <c r="O147" i="11"/>
  <c r="M147" i="11"/>
  <c r="I147" i="11"/>
  <c r="P147" i="11"/>
  <c r="N147" i="11"/>
  <c r="L147" i="11"/>
  <c r="G204" i="2"/>
  <c r="R49" i="17"/>
  <c r="S49" i="17"/>
  <c r="R23" i="16"/>
  <c r="M222" i="2" l="1"/>
  <c r="M220" i="2"/>
  <c r="M218" i="2"/>
  <c r="M216" i="2"/>
  <c r="M214" i="2"/>
  <c r="M212" i="2"/>
  <c r="M221" i="2"/>
  <c r="M219" i="2"/>
  <c r="M217" i="2"/>
  <c r="M215" i="2"/>
  <c r="M213" i="2"/>
  <c r="M211" i="2"/>
  <c r="K221" i="2"/>
  <c r="K219" i="2"/>
  <c r="K217" i="2"/>
  <c r="K215" i="2"/>
  <c r="K213" i="2"/>
  <c r="K211" i="2"/>
  <c r="K222" i="2"/>
  <c r="K220" i="2"/>
  <c r="K218" i="2"/>
  <c r="K216" i="2"/>
  <c r="K214" i="2"/>
  <c r="K212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G222" i="2"/>
  <c r="D24" i="13" s="1"/>
  <c r="G220" i="2"/>
  <c r="D22" i="13" s="1"/>
  <c r="G218" i="2"/>
  <c r="G216" i="2"/>
  <c r="D18" i="13" s="1"/>
  <c r="G214" i="2"/>
  <c r="D16" i="13" s="1"/>
  <c r="G212" i="2"/>
  <c r="D14" i="13" s="1"/>
  <c r="G221" i="2"/>
  <c r="D23" i="13" s="1"/>
  <c r="G219" i="2"/>
  <c r="D21" i="13" s="1"/>
  <c r="G217" i="2"/>
  <c r="D19" i="13" s="1"/>
  <c r="G215" i="2"/>
  <c r="D17" i="13" s="1"/>
  <c r="G213" i="2"/>
  <c r="D15" i="13" s="1"/>
  <c r="G211" i="2"/>
  <c r="D13" i="13" s="1"/>
  <c r="D20" i="13"/>
  <c r="I206" i="2"/>
  <c r="H206" i="2"/>
  <c r="M206" i="2"/>
  <c r="K206" i="2"/>
  <c r="K52" i="14" l="1"/>
  <c r="L52" i="14"/>
  <c r="M52" i="14"/>
  <c r="H52" i="14"/>
  <c r="I52" i="14"/>
  <c r="Q52" i="14" s="1"/>
  <c r="G52" i="14"/>
  <c r="K51" i="14" l="1"/>
  <c r="L51" i="14"/>
  <c r="M51" i="14"/>
  <c r="G51" i="14"/>
  <c r="H51" i="14"/>
  <c r="I51" i="14"/>
  <c r="Q51" i="14" l="1"/>
  <c r="P148" i="11" l="1"/>
  <c r="N148" i="11"/>
  <c r="P168" i="11" l="1"/>
  <c r="P167" i="11"/>
  <c r="P166" i="11"/>
  <c r="P165" i="11"/>
  <c r="P164" i="11"/>
  <c r="P163" i="11"/>
  <c r="P162" i="11"/>
  <c r="P160" i="11"/>
  <c r="P158" i="11"/>
  <c r="P161" i="11"/>
  <c r="P159" i="11"/>
  <c r="P157" i="11"/>
  <c r="N168" i="11"/>
  <c r="N167" i="11"/>
  <c r="N166" i="11"/>
  <c r="N165" i="11"/>
  <c r="N164" i="11"/>
  <c r="N163" i="11"/>
  <c r="N161" i="11"/>
  <c r="N159" i="11"/>
  <c r="N157" i="11"/>
  <c r="N162" i="11"/>
  <c r="N160" i="11"/>
  <c r="N158" i="11"/>
  <c r="N13" i="17"/>
  <c r="N14" i="17"/>
  <c r="N15" i="17"/>
  <c r="N22" i="17"/>
  <c r="N30" i="17"/>
  <c r="N31" i="17"/>
  <c r="N32" i="17"/>
  <c r="M50" i="14" l="1"/>
  <c r="L50" i="14"/>
  <c r="K50" i="14"/>
  <c r="I50" i="14"/>
  <c r="H50" i="14"/>
  <c r="G50" i="14"/>
  <c r="Q50" i="14" l="1"/>
  <c r="Q112" i="2"/>
  <c r="Q113" i="2"/>
  <c r="Q114" i="2"/>
  <c r="Q115" i="2"/>
  <c r="Q116" i="2"/>
  <c r="Q117" i="2"/>
  <c r="Q118" i="2"/>
  <c r="Q119" i="2"/>
  <c r="Q121" i="2"/>
  <c r="Q193" i="2"/>
  <c r="Q185" i="2"/>
  <c r="Q186" i="2"/>
  <c r="Q187" i="2"/>
  <c r="Q188" i="2"/>
  <c r="Q189" i="2"/>
  <c r="Q190" i="2"/>
  <c r="Q191" i="2"/>
  <c r="Q192" i="2"/>
  <c r="Q184" i="2"/>
  <c r="N204" i="2" l="1"/>
  <c r="Q111" i="2"/>
  <c r="P56" i="14"/>
  <c r="R192" i="2"/>
  <c r="S192" i="2"/>
  <c r="T192" i="2"/>
  <c r="U192" i="2"/>
  <c r="V192" i="2"/>
  <c r="W192" i="2"/>
  <c r="R193" i="2"/>
  <c r="S193" i="2"/>
  <c r="T193" i="2"/>
  <c r="U193" i="2"/>
  <c r="V193" i="2"/>
  <c r="W193" i="2"/>
  <c r="Q183" i="2"/>
  <c r="L33" i="2"/>
  <c r="R121" i="2"/>
  <c r="S121" i="2"/>
  <c r="T121" i="2"/>
  <c r="U121" i="2"/>
  <c r="V121" i="2"/>
  <c r="W121" i="2"/>
  <c r="J76" i="2"/>
  <c r="J77" i="2"/>
  <c r="J78" i="2"/>
  <c r="J79" i="2"/>
  <c r="J80" i="2"/>
  <c r="J81" i="2"/>
  <c r="J82" i="2"/>
  <c r="J83" i="2"/>
  <c r="J84" i="2"/>
  <c r="N222" i="2" l="1"/>
  <c r="N221" i="2"/>
  <c r="N220" i="2"/>
  <c r="N219" i="2"/>
  <c r="N218" i="2"/>
  <c r="N217" i="2"/>
  <c r="N216" i="2"/>
  <c r="N215" i="2"/>
  <c r="N214" i="2"/>
  <c r="N213" i="2"/>
  <c r="N212" i="2"/>
  <c r="N211" i="2"/>
  <c r="L204" i="2"/>
  <c r="O204" i="2"/>
  <c r="L16" i="2"/>
  <c r="L203" i="2" s="1"/>
  <c r="F59" i="5"/>
  <c r="G59" i="5"/>
  <c r="H59" i="5"/>
  <c r="F40" i="5"/>
  <c r="G40" i="5"/>
  <c r="H40" i="5"/>
  <c r="F41" i="5"/>
  <c r="G41" i="5"/>
  <c r="H41" i="5"/>
  <c r="F42" i="5"/>
  <c r="G42" i="5"/>
  <c r="H42" i="5"/>
  <c r="F43" i="5"/>
  <c r="G43" i="5"/>
  <c r="H43" i="5"/>
  <c r="F44" i="5"/>
  <c r="G44" i="5"/>
  <c r="H44" i="5"/>
  <c r="F45" i="5"/>
  <c r="G45" i="5"/>
  <c r="H45" i="5"/>
  <c r="F46" i="5"/>
  <c r="G46" i="5"/>
  <c r="H46" i="5"/>
  <c r="F36" i="5"/>
  <c r="G36" i="5"/>
  <c r="H36" i="5"/>
  <c r="F38" i="5"/>
  <c r="G38" i="5"/>
  <c r="H38" i="5"/>
  <c r="P29" i="14"/>
  <c r="O222" i="2" l="1"/>
  <c r="O220" i="2"/>
  <c r="O218" i="2"/>
  <c r="O216" i="2"/>
  <c r="O214" i="2"/>
  <c r="O212" i="2"/>
  <c r="O221" i="2"/>
  <c r="O219" i="2"/>
  <c r="O217" i="2"/>
  <c r="O215" i="2"/>
  <c r="O213" i="2"/>
  <c r="O211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06" i="2"/>
  <c r="N206" i="2"/>
  <c r="O206" i="2"/>
  <c r="U20" i="16"/>
  <c r="N20" i="16"/>
  <c r="N32" i="16" s="1"/>
  <c r="N21" i="16"/>
  <c r="N22" i="16"/>
  <c r="V10" i="16" l="1"/>
  <c r="W10" i="16"/>
  <c r="N10" i="16"/>
  <c r="U10" i="16"/>
  <c r="T10" i="16"/>
  <c r="J10" i="16"/>
  <c r="Q10" i="16" l="1"/>
  <c r="S10" i="16"/>
  <c r="A20" i="18"/>
  <c r="A21" i="18"/>
  <c r="A22" i="18" s="1"/>
  <c r="A23" i="18" s="1"/>
  <c r="A19" i="18"/>
  <c r="R10" i="16" l="1"/>
  <c r="A5" i="18"/>
  <c r="A6" i="18" l="1"/>
  <c r="A7" i="18" s="1"/>
  <c r="A9" i="18" s="1"/>
  <c r="A10" i="18" l="1"/>
  <c r="A11" i="18" s="1"/>
  <c r="A12" i="18" s="1"/>
  <c r="A13" i="18" s="1"/>
  <c r="G13" i="18"/>
  <c r="G16" i="18"/>
  <c r="A15" i="18" l="1"/>
  <c r="A16" i="18" s="1"/>
  <c r="A18" i="18" s="1"/>
  <c r="A25" i="18" s="1"/>
  <c r="A26" i="18" s="1"/>
  <c r="A27" i="18" s="1"/>
  <c r="G23" i="1"/>
  <c r="G24" i="1"/>
  <c r="G25" i="1"/>
  <c r="G26" i="1"/>
  <c r="G27" i="1"/>
  <c r="G28" i="1"/>
  <c r="G29" i="1"/>
  <c r="G30" i="1"/>
  <c r="G31" i="1"/>
  <c r="G32" i="1"/>
  <c r="G44" i="1"/>
  <c r="G45" i="1"/>
  <c r="G46" i="1"/>
  <c r="G47" i="1"/>
  <c r="G48" i="1"/>
  <c r="G49" i="1"/>
  <c r="G57" i="1"/>
  <c r="G58" i="1"/>
  <c r="G59" i="1"/>
  <c r="G60" i="1"/>
  <c r="G61" i="1"/>
  <c r="G62" i="1"/>
  <c r="G63" i="1"/>
  <c r="G64" i="1"/>
  <c r="G65" i="1"/>
  <c r="G66" i="1"/>
  <c r="G23" i="10"/>
  <c r="G24" i="10"/>
  <c r="G25" i="10"/>
  <c r="G26" i="10"/>
  <c r="G27" i="10"/>
  <c r="G28" i="10"/>
  <c r="G29" i="10"/>
  <c r="G30" i="10"/>
  <c r="G31" i="10"/>
  <c r="G32" i="10"/>
  <c r="G74" i="10"/>
  <c r="G76" i="10"/>
  <c r="G77" i="10"/>
  <c r="G78" i="10"/>
  <c r="G79" i="10"/>
  <c r="G80" i="10"/>
  <c r="G81" i="10"/>
  <c r="G82" i="10"/>
  <c r="G83" i="10"/>
  <c r="G57" i="10"/>
  <c r="G58" i="10"/>
  <c r="G64" i="10"/>
  <c r="G65" i="10"/>
  <c r="G6" i="10"/>
  <c r="G7" i="10"/>
  <c r="G8" i="10"/>
  <c r="G9" i="10"/>
  <c r="G10" i="10"/>
  <c r="G101" i="10" s="1"/>
  <c r="G11" i="10"/>
  <c r="G12" i="10"/>
  <c r="G13" i="10"/>
  <c r="G14" i="10"/>
  <c r="G15" i="10"/>
  <c r="G6" i="1"/>
  <c r="G7" i="1"/>
  <c r="G8" i="1"/>
  <c r="G9" i="1"/>
  <c r="G10" i="1"/>
  <c r="G11" i="1"/>
  <c r="G12" i="1"/>
  <c r="G13" i="1"/>
  <c r="G14" i="1"/>
  <c r="G15" i="1"/>
  <c r="G103" i="10" l="1"/>
  <c r="G104" i="10"/>
  <c r="G102" i="10"/>
  <c r="G100" i="10"/>
  <c r="G99" i="10"/>
  <c r="G98" i="10"/>
  <c r="G97" i="10"/>
  <c r="G106" i="10"/>
  <c r="G105" i="10"/>
  <c r="G10" i="16"/>
  <c r="V48" i="17"/>
  <c r="W48" i="17"/>
  <c r="J48" i="17"/>
  <c r="G48" i="17"/>
  <c r="T48" i="17" l="1"/>
  <c r="N48" i="17"/>
  <c r="U48" i="17"/>
  <c r="G152" i="5"/>
  <c r="G149" i="5"/>
  <c r="G148" i="5"/>
  <c r="G147" i="5"/>
  <c r="G146" i="5"/>
  <c r="G145" i="5"/>
  <c r="G144" i="5"/>
  <c r="G143" i="5"/>
  <c r="G142" i="5"/>
  <c r="H151" i="5"/>
  <c r="H149" i="5"/>
  <c r="H147" i="5"/>
  <c r="H145" i="5"/>
  <c r="E153" i="5"/>
  <c r="H152" i="5"/>
  <c r="F152" i="5"/>
  <c r="F148" i="5"/>
  <c r="F146" i="5"/>
  <c r="F144" i="5"/>
  <c r="F142" i="5"/>
  <c r="P60" i="14"/>
  <c r="M49" i="14"/>
  <c r="L49" i="14"/>
  <c r="K49" i="14"/>
  <c r="P55" i="14"/>
  <c r="H49" i="14"/>
  <c r="I49" i="14"/>
  <c r="G49" i="14"/>
  <c r="F61" i="14"/>
  <c r="P52" i="14"/>
  <c r="Q49" i="14" l="1"/>
  <c r="P49" i="14"/>
  <c r="H142" i="5"/>
  <c r="H144" i="5"/>
  <c r="H146" i="5"/>
  <c r="H148" i="5"/>
  <c r="H150" i="5"/>
  <c r="F141" i="5"/>
  <c r="G141" i="5"/>
  <c r="H141" i="5"/>
  <c r="P53" i="14"/>
  <c r="P54" i="14"/>
  <c r="P50" i="14"/>
  <c r="S48" i="17"/>
  <c r="Q48" i="17"/>
  <c r="G151" i="5"/>
  <c r="F150" i="5"/>
  <c r="C153" i="5"/>
  <c r="G150" i="5"/>
  <c r="P58" i="14"/>
  <c r="D153" i="5"/>
  <c r="F143" i="5"/>
  <c r="H143" i="5"/>
  <c r="F145" i="5"/>
  <c r="F147" i="5"/>
  <c r="F149" i="5"/>
  <c r="F151" i="5"/>
  <c r="F153" i="5"/>
  <c r="P57" i="14"/>
  <c r="P51" i="14"/>
  <c r="O169" i="11"/>
  <c r="K169" i="11"/>
  <c r="I169" i="11"/>
  <c r="H169" i="11"/>
  <c r="G169" i="11"/>
  <c r="W168" i="11"/>
  <c r="V168" i="11"/>
  <c r="U168" i="11"/>
  <c r="T168" i="11"/>
  <c r="S168" i="11"/>
  <c r="W167" i="11"/>
  <c r="V167" i="11"/>
  <c r="U167" i="11"/>
  <c r="T167" i="11"/>
  <c r="S167" i="11"/>
  <c r="W166" i="11"/>
  <c r="V166" i="11"/>
  <c r="U166" i="11"/>
  <c r="T166" i="11"/>
  <c r="S166" i="11"/>
  <c r="W165" i="11"/>
  <c r="V165" i="11"/>
  <c r="U165" i="11"/>
  <c r="S165" i="11"/>
  <c r="T165" i="11"/>
  <c r="W164" i="11"/>
  <c r="V164" i="11"/>
  <c r="U164" i="11"/>
  <c r="S164" i="11"/>
  <c r="T164" i="11"/>
  <c r="W163" i="11"/>
  <c r="V163" i="11"/>
  <c r="U163" i="11"/>
  <c r="S163" i="11"/>
  <c r="T163" i="11"/>
  <c r="W162" i="11"/>
  <c r="V162" i="11"/>
  <c r="U162" i="11"/>
  <c r="S162" i="11"/>
  <c r="T162" i="11"/>
  <c r="W161" i="11"/>
  <c r="V161" i="11"/>
  <c r="U161" i="11"/>
  <c r="S161" i="11"/>
  <c r="T161" i="11"/>
  <c r="W160" i="11"/>
  <c r="V160" i="11"/>
  <c r="U160" i="11"/>
  <c r="S160" i="11"/>
  <c r="T160" i="11"/>
  <c r="W159" i="11"/>
  <c r="V159" i="11"/>
  <c r="U159" i="11"/>
  <c r="S159" i="11"/>
  <c r="T159" i="11"/>
  <c r="W158" i="11"/>
  <c r="V158" i="11"/>
  <c r="U158" i="11"/>
  <c r="S158" i="11"/>
  <c r="T158" i="11"/>
  <c r="V157" i="11"/>
  <c r="S157" i="11"/>
  <c r="M169" i="11"/>
  <c r="U216" i="2"/>
  <c r="T189" i="2"/>
  <c r="V189" i="2"/>
  <c r="V222" i="2"/>
  <c r="U222" i="2"/>
  <c r="T222" i="2"/>
  <c r="S222" i="2"/>
  <c r="V221" i="2"/>
  <c r="T221" i="2"/>
  <c r="V220" i="2"/>
  <c r="U220" i="2"/>
  <c r="T220" i="2"/>
  <c r="S220" i="2"/>
  <c r="G153" i="5" l="1"/>
  <c r="D155" i="5"/>
  <c r="R48" i="17"/>
  <c r="W189" i="2"/>
  <c r="U189" i="2"/>
  <c r="S189" i="2"/>
  <c r="U213" i="2"/>
  <c r="U215" i="2"/>
  <c r="U217" i="2"/>
  <c r="U214" i="2"/>
  <c r="U212" i="2"/>
  <c r="S216" i="2"/>
  <c r="H223" i="2"/>
  <c r="I223" i="2"/>
  <c r="S218" i="2"/>
  <c r="S213" i="2"/>
  <c r="U219" i="2"/>
  <c r="S219" i="2"/>
  <c r="S217" i="2"/>
  <c r="S215" i="2"/>
  <c r="U218" i="2"/>
  <c r="H153" i="5"/>
  <c r="V169" i="11"/>
  <c r="S169" i="11"/>
  <c r="K223" i="2"/>
  <c r="N223" i="2"/>
  <c r="S221" i="2"/>
  <c r="U221" i="2"/>
  <c r="G223" i="2"/>
  <c r="D25" i="13" s="1"/>
  <c r="S212" i="2"/>
  <c r="S214" i="2"/>
  <c r="S211" i="2"/>
  <c r="U211" i="2"/>
  <c r="S223" i="2" l="1"/>
  <c r="U223" i="2"/>
  <c r="E97" i="10" l="1"/>
  <c r="F97" i="10"/>
  <c r="H97" i="10"/>
  <c r="I97" i="10"/>
  <c r="J97" i="10"/>
  <c r="K97" i="10"/>
  <c r="L97" i="10"/>
  <c r="E98" i="10"/>
  <c r="F98" i="10"/>
  <c r="H98" i="10"/>
  <c r="I98" i="10"/>
  <c r="J98" i="10"/>
  <c r="K98" i="10"/>
  <c r="L98" i="10"/>
  <c r="E99" i="10"/>
  <c r="F99" i="10"/>
  <c r="H99" i="10"/>
  <c r="I99" i="10"/>
  <c r="J99" i="10"/>
  <c r="K99" i="10"/>
  <c r="E100" i="10"/>
  <c r="E101" i="10"/>
  <c r="E102" i="10"/>
  <c r="E103" i="10"/>
  <c r="E104" i="10"/>
  <c r="E105" i="10"/>
  <c r="E106" i="10"/>
  <c r="L84" i="1"/>
  <c r="L85" i="1"/>
  <c r="L86" i="1"/>
  <c r="L87" i="1"/>
  <c r="L88" i="1"/>
  <c r="L89" i="1"/>
  <c r="K85" i="1"/>
  <c r="K86" i="1"/>
  <c r="K87" i="1"/>
  <c r="K88" i="1"/>
  <c r="K89" i="1"/>
  <c r="I85" i="1"/>
  <c r="J85" i="1"/>
  <c r="I84" i="1"/>
  <c r="J84" i="1"/>
  <c r="K84" i="1"/>
  <c r="I96" i="10"/>
  <c r="J96" i="10"/>
  <c r="K96" i="10"/>
  <c r="L96" i="10"/>
  <c r="I95" i="10"/>
  <c r="J95" i="10"/>
  <c r="K95" i="10"/>
  <c r="L95" i="10"/>
  <c r="H96" i="10"/>
  <c r="H95" i="10"/>
  <c r="E96" i="10"/>
  <c r="E95" i="10"/>
  <c r="K83" i="1"/>
  <c r="L83" i="1"/>
  <c r="K82" i="1"/>
  <c r="L82" i="1"/>
  <c r="K81" i="1"/>
  <c r="L81" i="1"/>
  <c r="K80" i="1"/>
  <c r="L80" i="1"/>
  <c r="K79" i="1"/>
  <c r="L79" i="1"/>
  <c r="J80" i="1"/>
  <c r="J81" i="1"/>
  <c r="J82" i="1"/>
  <c r="J83" i="1"/>
  <c r="J86" i="1"/>
  <c r="J87" i="1"/>
  <c r="J88" i="1"/>
  <c r="J89" i="1"/>
  <c r="J79" i="1"/>
  <c r="K78" i="1"/>
  <c r="L78" i="1"/>
  <c r="J78" i="1"/>
  <c r="I80" i="1"/>
  <c r="I81" i="1"/>
  <c r="I82" i="1"/>
  <c r="I83" i="1"/>
  <c r="I86" i="1"/>
  <c r="I87" i="1"/>
  <c r="I88" i="1"/>
  <c r="I89" i="1"/>
  <c r="I79" i="1"/>
  <c r="I78" i="1"/>
  <c r="H80" i="1"/>
  <c r="H81" i="1"/>
  <c r="H82" i="1"/>
  <c r="H83" i="1"/>
  <c r="H84" i="1"/>
  <c r="H85" i="1"/>
  <c r="H86" i="1"/>
  <c r="H87" i="1"/>
  <c r="H88" i="1"/>
  <c r="H89" i="1"/>
  <c r="H79" i="1"/>
  <c r="H78" i="1"/>
  <c r="E84" i="1"/>
  <c r="E85" i="1"/>
  <c r="E86" i="1"/>
  <c r="E87" i="1"/>
  <c r="E88" i="1"/>
  <c r="E89" i="1"/>
  <c r="E80" i="1"/>
  <c r="E81" i="1"/>
  <c r="E82" i="1"/>
  <c r="E83" i="1"/>
  <c r="E79" i="1"/>
  <c r="E78" i="1"/>
  <c r="F86" i="1"/>
  <c r="F87" i="1"/>
  <c r="F88" i="1"/>
  <c r="F89" i="1"/>
  <c r="F85" i="1"/>
  <c r="F84" i="1"/>
  <c r="F83" i="1"/>
  <c r="F82" i="1"/>
  <c r="F81" i="1"/>
  <c r="F80" i="1"/>
  <c r="F79" i="1"/>
  <c r="F78" i="1"/>
  <c r="G88" i="1" l="1"/>
  <c r="Q87" i="1"/>
  <c r="Q88" i="1"/>
  <c r="O89" i="1"/>
  <c r="O87" i="1"/>
  <c r="Q86" i="1"/>
  <c r="P86" i="1"/>
  <c r="O88" i="1"/>
  <c r="G78" i="1"/>
  <c r="G89" i="1"/>
  <c r="G87" i="1"/>
  <c r="G86" i="1"/>
  <c r="P88" i="1"/>
  <c r="O86" i="1"/>
  <c r="O79" i="1"/>
  <c r="Q79" i="1"/>
  <c r="P79" i="1"/>
  <c r="P78" i="1"/>
  <c r="M78" i="1"/>
  <c r="N78" i="1" s="1"/>
  <c r="O78" i="1"/>
  <c r="P82" i="1"/>
  <c r="Q89" i="1"/>
  <c r="G79" i="1"/>
  <c r="Q78" i="1"/>
  <c r="P99" i="10"/>
  <c r="P97" i="10"/>
  <c r="M96" i="10"/>
  <c r="M84" i="1"/>
  <c r="P84" i="1"/>
  <c r="O83" i="1"/>
  <c r="Q83" i="1"/>
  <c r="O82" i="1"/>
  <c r="M85" i="1"/>
  <c r="G83" i="1"/>
  <c r="M82" i="1"/>
  <c r="M79" i="1"/>
  <c r="O81" i="1"/>
  <c r="P83" i="1"/>
  <c r="Q84" i="1"/>
  <c r="O97" i="10"/>
  <c r="O98" i="10"/>
  <c r="P98" i="10"/>
  <c r="Q98" i="10"/>
  <c r="M98" i="10"/>
  <c r="M97" i="10"/>
  <c r="M99" i="10"/>
  <c r="J107" i="10"/>
  <c r="O99" i="10"/>
  <c r="G84" i="1"/>
  <c r="O84" i="1"/>
  <c r="M83" i="1"/>
  <c r="Q82" i="1"/>
  <c r="G82" i="1"/>
  <c r="P81" i="1"/>
  <c r="I90" i="1"/>
  <c r="M81" i="1"/>
  <c r="G81" i="1"/>
  <c r="Q81" i="1"/>
  <c r="J90" i="1"/>
  <c r="M80" i="1"/>
  <c r="P80" i="1"/>
  <c r="O80" i="1"/>
  <c r="Q80" i="1"/>
  <c r="G80" i="1"/>
  <c r="K90" i="1"/>
  <c r="O85" i="1"/>
  <c r="F90" i="1"/>
  <c r="Q85" i="1"/>
  <c r="P85" i="1"/>
  <c r="G85" i="1"/>
  <c r="H107" i="10"/>
  <c r="H90" i="1"/>
  <c r="M88" i="1"/>
  <c r="M87" i="1"/>
  <c r="K107" i="10"/>
  <c r="I107" i="10"/>
  <c r="Q99" i="10"/>
  <c r="Q97" i="10"/>
  <c r="L107" i="10"/>
  <c r="M86" i="1"/>
  <c r="L90" i="1"/>
  <c r="M95" i="10"/>
  <c r="P89" i="1"/>
  <c r="M89" i="1"/>
  <c r="P87" i="1"/>
  <c r="N99" i="10" l="1"/>
  <c r="N82" i="1"/>
  <c r="N86" i="1"/>
  <c r="N85" i="1"/>
  <c r="N84" i="1"/>
  <c r="N98" i="10"/>
  <c r="N80" i="1"/>
  <c r="N97" i="10"/>
  <c r="N79" i="1"/>
  <c r="G90" i="1"/>
  <c r="E90" i="1" s="1"/>
  <c r="O90" i="1"/>
  <c r="N83" i="1"/>
  <c r="N81" i="1"/>
  <c r="Q90" i="1"/>
  <c r="P90" i="1"/>
  <c r="N87" i="1"/>
  <c r="M90" i="1"/>
  <c r="N90" i="1" s="1"/>
  <c r="N88" i="1"/>
  <c r="M107" i="10"/>
  <c r="N89" i="1"/>
  <c r="G4" i="1" l="1"/>
  <c r="G5" i="1"/>
  <c r="U21" i="16"/>
  <c r="V21" i="16"/>
  <c r="W22" i="16"/>
  <c r="V22" i="16"/>
  <c r="U22" i="16"/>
  <c r="T22" i="16"/>
  <c r="S22" i="16"/>
  <c r="J22" i="16"/>
  <c r="G22" i="16"/>
  <c r="W21" i="16"/>
  <c r="T21" i="16"/>
  <c r="J21" i="16"/>
  <c r="G21" i="16"/>
  <c r="W20" i="16"/>
  <c r="V20" i="16"/>
  <c r="J20" i="16"/>
  <c r="J32" i="16" s="1"/>
  <c r="G20" i="16"/>
  <c r="G32" i="16" s="1"/>
  <c r="F96" i="10"/>
  <c r="D7" i="18"/>
  <c r="W47" i="17"/>
  <c r="V47" i="17"/>
  <c r="U47" i="17"/>
  <c r="T47" i="17"/>
  <c r="N47" i="17"/>
  <c r="J47" i="17"/>
  <c r="G47" i="17"/>
  <c r="W46" i="17"/>
  <c r="V46" i="17"/>
  <c r="J46" i="17"/>
  <c r="G46" i="17"/>
  <c r="W45" i="17"/>
  <c r="J45" i="17"/>
  <c r="U46" i="17" l="1"/>
  <c r="S47" i="17"/>
  <c r="T46" i="17"/>
  <c r="P44" i="16"/>
  <c r="O44" i="16"/>
  <c r="I44" i="16"/>
  <c r="H44" i="16"/>
  <c r="D27" i="18"/>
  <c r="F37" i="16"/>
  <c r="T20" i="16"/>
  <c r="G45" i="17"/>
  <c r="V58" i="17"/>
  <c r="P96" i="10"/>
  <c r="N96" i="10"/>
  <c r="O96" i="10"/>
  <c r="Q96" i="10"/>
  <c r="G21" i="10"/>
  <c r="F95" i="10"/>
  <c r="G22" i="10"/>
  <c r="S20" i="16"/>
  <c r="Q21" i="16"/>
  <c r="Q22" i="16"/>
  <c r="V45" i="17"/>
  <c r="N46" i="17"/>
  <c r="Q20" i="16"/>
  <c r="Q32" i="16" s="1"/>
  <c r="W32" i="16"/>
  <c r="S21" i="16"/>
  <c r="W58" i="17"/>
  <c r="N45" i="17"/>
  <c r="T45" i="17"/>
  <c r="U45" i="17"/>
  <c r="Q47" i="17"/>
  <c r="G41" i="1"/>
  <c r="G40" i="1"/>
  <c r="G42" i="1"/>
  <c r="G39" i="1"/>
  <c r="G38" i="1"/>
  <c r="G43" i="1"/>
  <c r="S46" i="17" l="1"/>
  <c r="R20" i="16"/>
  <c r="R21" i="16"/>
  <c r="R47" i="17"/>
  <c r="R22" i="16"/>
  <c r="K44" i="16"/>
  <c r="Q46" i="17"/>
  <c r="T58" i="17"/>
  <c r="U58" i="17"/>
  <c r="F107" i="10"/>
  <c r="O95" i="10"/>
  <c r="P95" i="10"/>
  <c r="Q95" i="10"/>
  <c r="N95" i="10"/>
  <c r="E32" i="16"/>
  <c r="V32" i="16"/>
  <c r="U32" i="16"/>
  <c r="T32" i="16"/>
  <c r="S45" i="17"/>
  <c r="Q45" i="17"/>
  <c r="Q58" i="17" s="1"/>
  <c r="G55" i="1"/>
  <c r="G56" i="1"/>
  <c r="V29" i="17"/>
  <c r="W32" i="17"/>
  <c r="V32" i="17"/>
  <c r="U32" i="17"/>
  <c r="T32" i="17"/>
  <c r="S32" i="17"/>
  <c r="J32" i="17"/>
  <c r="G32" i="17"/>
  <c r="W31" i="17"/>
  <c r="V31" i="17"/>
  <c r="U31" i="17"/>
  <c r="T31" i="17"/>
  <c r="S31" i="17"/>
  <c r="J31" i="17"/>
  <c r="G31" i="17"/>
  <c r="W30" i="17"/>
  <c r="V30" i="17"/>
  <c r="U30" i="17"/>
  <c r="T30" i="17"/>
  <c r="S30" i="17"/>
  <c r="Q30" i="17"/>
  <c r="J30" i="17"/>
  <c r="G30" i="17"/>
  <c r="W29" i="17"/>
  <c r="T29" i="17"/>
  <c r="J29" i="17"/>
  <c r="G29" i="17"/>
  <c r="W28" i="17"/>
  <c r="J28" i="17"/>
  <c r="G28" i="17"/>
  <c r="U12" i="17"/>
  <c r="T12" i="17"/>
  <c r="W22" i="17"/>
  <c r="V22" i="17"/>
  <c r="U22" i="17"/>
  <c r="T22" i="17"/>
  <c r="S22" i="17"/>
  <c r="J22" i="17"/>
  <c r="G22" i="17"/>
  <c r="W15" i="17"/>
  <c r="V15" i="17"/>
  <c r="U15" i="17"/>
  <c r="T15" i="17"/>
  <c r="S15" i="17"/>
  <c r="J15" i="17"/>
  <c r="G15" i="17"/>
  <c r="W14" i="17"/>
  <c r="V14" i="17"/>
  <c r="U14" i="17"/>
  <c r="T14" i="17"/>
  <c r="J14" i="17"/>
  <c r="G14" i="17"/>
  <c r="W13" i="17"/>
  <c r="U13" i="17"/>
  <c r="T13" i="17"/>
  <c r="S13" i="17"/>
  <c r="Q13" i="17"/>
  <c r="R13" i="17" s="1"/>
  <c r="J13" i="17"/>
  <c r="G13" i="17"/>
  <c r="W12" i="17"/>
  <c r="V12" i="17"/>
  <c r="J12" i="17"/>
  <c r="G12" i="17"/>
  <c r="W11" i="17"/>
  <c r="J11" i="17"/>
  <c r="G11" i="17"/>
  <c r="J40" i="17" l="1"/>
  <c r="G40" i="17"/>
  <c r="R46" i="17"/>
  <c r="J23" i="17"/>
  <c r="G23" i="17"/>
  <c r="R30" i="17"/>
  <c r="T28" i="17"/>
  <c r="D11" i="18"/>
  <c r="D10" i="18"/>
  <c r="U11" i="17"/>
  <c r="T11" i="17"/>
  <c r="S14" i="17"/>
  <c r="N12" i="17"/>
  <c r="S58" i="17"/>
  <c r="O107" i="10"/>
  <c r="Q107" i="10"/>
  <c r="P107" i="10"/>
  <c r="N107" i="10"/>
  <c r="S32" i="16"/>
  <c r="T23" i="17"/>
  <c r="E7" i="18"/>
  <c r="R45" i="17"/>
  <c r="W23" i="17"/>
  <c r="V23" i="17"/>
  <c r="N11" i="17"/>
  <c r="V11" i="17"/>
  <c r="N29" i="17"/>
  <c r="W40" i="17"/>
  <c r="U28" i="17"/>
  <c r="U29" i="17"/>
  <c r="N28" i="17"/>
  <c r="V28" i="17"/>
  <c r="Q31" i="17"/>
  <c r="R31" i="17" s="1"/>
  <c r="Q32" i="17"/>
  <c r="R32" i="17" s="1"/>
  <c r="U23" i="17"/>
  <c r="V13" i="17"/>
  <c r="Q14" i="17"/>
  <c r="Q15" i="17"/>
  <c r="R15" i="17" s="1"/>
  <c r="Q22" i="17"/>
  <c r="G22" i="1"/>
  <c r="G21" i="1"/>
  <c r="S29" i="17" l="1"/>
  <c r="N40" i="17"/>
  <c r="Q29" i="17"/>
  <c r="N23" i="17"/>
  <c r="R22" i="17"/>
  <c r="R14" i="17"/>
  <c r="S12" i="17"/>
  <c r="E27" i="18"/>
  <c r="F27" i="18" s="1"/>
  <c r="F7" i="18"/>
  <c r="T40" i="17"/>
  <c r="V40" i="17"/>
  <c r="Q12" i="17"/>
  <c r="U40" i="17"/>
  <c r="R58" i="17"/>
  <c r="R32" i="16"/>
  <c r="S11" i="17"/>
  <c r="Q11" i="17"/>
  <c r="R11" i="17" s="1"/>
  <c r="S28" i="17"/>
  <c r="Q28" i="17"/>
  <c r="M63" i="17"/>
  <c r="W5" i="17"/>
  <c r="V5" i="17"/>
  <c r="U5" i="17"/>
  <c r="T5" i="17"/>
  <c r="N5" i="17"/>
  <c r="J5" i="17"/>
  <c r="G5" i="17"/>
  <c r="W4" i="17"/>
  <c r="V4" i="17"/>
  <c r="U4" i="17"/>
  <c r="T4" i="17"/>
  <c r="J4" i="17"/>
  <c r="G4" i="17"/>
  <c r="G4" i="10"/>
  <c r="G5" i="10"/>
  <c r="G55" i="10"/>
  <c r="G56" i="10"/>
  <c r="J6" i="17" l="1"/>
  <c r="G6" i="17"/>
  <c r="N6" i="17"/>
  <c r="Q40" i="17"/>
  <c r="E69" i="17"/>
  <c r="G67" i="10"/>
  <c r="R29" i="17"/>
  <c r="Q23" i="17"/>
  <c r="R12" i="17"/>
  <c r="F64" i="17"/>
  <c r="E4" i="12" s="1"/>
  <c r="H70" i="17"/>
  <c r="H63" i="17"/>
  <c r="H64" i="17" s="1"/>
  <c r="P63" i="17"/>
  <c r="P64" i="17" s="1"/>
  <c r="J4" i="12" s="1"/>
  <c r="P70" i="17"/>
  <c r="I70" i="17"/>
  <c r="I63" i="17"/>
  <c r="I64" i="17" s="1"/>
  <c r="O63" i="17"/>
  <c r="O64" i="17" s="1"/>
  <c r="I4" i="12" s="1"/>
  <c r="L63" i="17"/>
  <c r="L64" i="17" s="1"/>
  <c r="L70" i="17"/>
  <c r="T70" i="17" s="1"/>
  <c r="S23" i="17"/>
  <c r="D9" i="18"/>
  <c r="S5" i="17"/>
  <c r="M64" i="17"/>
  <c r="S40" i="17"/>
  <c r="R28" i="17"/>
  <c r="T6" i="17"/>
  <c r="U6" i="17"/>
  <c r="S6" i="17"/>
  <c r="W6" i="17"/>
  <c r="Q4" i="17"/>
  <c r="S4" i="17"/>
  <c r="Q5" i="17"/>
  <c r="Q6" i="17" l="1"/>
  <c r="R5" i="17"/>
  <c r="T63" i="17"/>
  <c r="U63" i="17"/>
  <c r="G70" i="17"/>
  <c r="G63" i="17"/>
  <c r="G64" i="17" s="1"/>
  <c r="F4" i="12" s="1"/>
  <c r="U64" i="17"/>
  <c r="K63" i="17"/>
  <c r="K64" i="17" s="1"/>
  <c r="N63" i="17"/>
  <c r="N70" i="17"/>
  <c r="M70" i="17"/>
  <c r="U70" i="17" s="1"/>
  <c r="U69" i="17"/>
  <c r="F70" i="17"/>
  <c r="V6" i="17"/>
  <c r="J70" i="17"/>
  <c r="J63" i="17"/>
  <c r="J64" i="17" s="1"/>
  <c r="T64" i="17"/>
  <c r="O70" i="17"/>
  <c r="W69" i="17"/>
  <c r="T69" i="17"/>
  <c r="E11" i="18"/>
  <c r="F11" i="18" s="1"/>
  <c r="W63" i="17"/>
  <c r="R23" i="17"/>
  <c r="E10" i="18"/>
  <c r="S69" i="17"/>
  <c r="O4" i="12"/>
  <c r="R40" i="17"/>
  <c r="W64" i="17"/>
  <c r="R4" i="17"/>
  <c r="S70" i="17" l="1"/>
  <c r="W70" i="17"/>
  <c r="G4" i="12"/>
  <c r="N4" i="12" s="1"/>
  <c r="V64" i="17"/>
  <c r="V63" i="17"/>
  <c r="K70" i="17"/>
  <c r="V70" i="17" s="1"/>
  <c r="V69" i="17"/>
  <c r="F10" i="18"/>
  <c r="S63" i="17"/>
  <c r="N64" i="17"/>
  <c r="E9" i="18" l="1"/>
  <c r="Q63" i="17"/>
  <c r="S64" i="17"/>
  <c r="H4" i="12"/>
  <c r="R6" i="17"/>
  <c r="G5" i="16"/>
  <c r="G9" i="16"/>
  <c r="G14" i="16"/>
  <c r="G6" i="16"/>
  <c r="G7" i="16"/>
  <c r="U14" i="16"/>
  <c r="U9" i="16"/>
  <c r="U8" i="16"/>
  <c r="U7" i="16"/>
  <c r="U6" i="16"/>
  <c r="U5" i="16"/>
  <c r="U4" i="16"/>
  <c r="T14" i="16"/>
  <c r="T9" i="16"/>
  <c r="T8" i="16"/>
  <c r="T7" i="16"/>
  <c r="T6" i="16"/>
  <c r="T5" i="16"/>
  <c r="H38" i="16"/>
  <c r="I38" i="16"/>
  <c r="J14" i="16"/>
  <c r="J9" i="16"/>
  <c r="J7" i="16"/>
  <c r="J6" i="16"/>
  <c r="J5" i="16"/>
  <c r="J4" i="16"/>
  <c r="J8" i="16"/>
  <c r="G8" i="16"/>
  <c r="W14" i="16"/>
  <c r="W9" i="16"/>
  <c r="W8" i="16"/>
  <c r="W7" i="16"/>
  <c r="W6" i="16"/>
  <c r="V14" i="16"/>
  <c r="V9" i="16"/>
  <c r="V8" i="16"/>
  <c r="V7" i="16"/>
  <c r="V6" i="16"/>
  <c r="V4" i="16"/>
  <c r="N14" i="16"/>
  <c r="N9" i="16"/>
  <c r="N8" i="16"/>
  <c r="N7" i="16"/>
  <c r="N6" i="16"/>
  <c r="N5" i="16"/>
  <c r="P38" i="16"/>
  <c r="J6" i="12" s="1"/>
  <c r="O38" i="16"/>
  <c r="J15" i="16" l="1"/>
  <c r="S7" i="16"/>
  <c r="J37" i="16"/>
  <c r="S5" i="16"/>
  <c r="S9" i="16"/>
  <c r="Q70" i="17"/>
  <c r="R70" i="17" s="1"/>
  <c r="R69" i="17"/>
  <c r="T4" i="16"/>
  <c r="S14" i="16"/>
  <c r="S6" i="16"/>
  <c r="R63" i="17"/>
  <c r="Q64" i="17"/>
  <c r="R64" i="17" s="1"/>
  <c r="M4" i="12"/>
  <c r="K4" i="12"/>
  <c r="G4" i="16"/>
  <c r="K38" i="16"/>
  <c r="G6" i="12" s="1"/>
  <c r="I6" i="12"/>
  <c r="N4" i="16"/>
  <c r="V5" i="16"/>
  <c r="W5" i="16"/>
  <c r="W4" i="16"/>
  <c r="Q5" i="16"/>
  <c r="Q7" i="16"/>
  <c r="Q14" i="16"/>
  <c r="Q6" i="16"/>
  <c r="Q9" i="16"/>
  <c r="Q8" i="16"/>
  <c r="R8" i="16" s="1"/>
  <c r="S8" i="16"/>
  <c r="V15" i="16"/>
  <c r="G72" i="10"/>
  <c r="G95" i="10" s="1"/>
  <c r="G73" i="10"/>
  <c r="G96" i="10" s="1"/>
  <c r="G15" i="16" l="1"/>
  <c r="N15" i="16"/>
  <c r="N37" i="16" s="1"/>
  <c r="G107" i="10"/>
  <c r="E107" i="10" s="1"/>
  <c r="R7" i="16"/>
  <c r="R6" i="16"/>
  <c r="R5" i="16"/>
  <c r="S43" i="16"/>
  <c r="G37" i="16"/>
  <c r="R9" i="16"/>
  <c r="E43" i="16"/>
  <c r="R14" i="16"/>
  <c r="L4" i="12"/>
  <c r="L44" i="16"/>
  <c r="T44" i="16" s="1"/>
  <c r="J38" i="16"/>
  <c r="J44" i="16"/>
  <c r="M38" i="16"/>
  <c r="U38" i="16" s="1"/>
  <c r="U15" i="16"/>
  <c r="T43" i="16"/>
  <c r="M44" i="16"/>
  <c r="U44" i="16" s="1"/>
  <c r="U43" i="16"/>
  <c r="V37" i="16"/>
  <c r="D23" i="18"/>
  <c r="S4" i="16"/>
  <c r="W43" i="16"/>
  <c r="V43" i="16"/>
  <c r="F44" i="16"/>
  <c r="W15" i="16"/>
  <c r="Q4" i="16"/>
  <c r="T15" i="16"/>
  <c r="Q196" i="2"/>
  <c r="Q197" i="2" s="1"/>
  <c r="J196" i="2"/>
  <c r="J197" i="2" s="1"/>
  <c r="V219" i="2"/>
  <c r="T219" i="2"/>
  <c r="Q41" i="14"/>
  <c r="C42" i="14"/>
  <c r="N29" i="14"/>
  <c r="J29" i="14"/>
  <c r="K34" i="14"/>
  <c r="K41" i="14" s="1"/>
  <c r="L34" i="14"/>
  <c r="L41" i="14" s="1"/>
  <c r="M34" i="14"/>
  <c r="M41" i="14" s="1"/>
  <c r="L16" i="14"/>
  <c r="K16" i="14"/>
  <c r="P27" i="14"/>
  <c r="P28" i="14"/>
  <c r="H34" i="14"/>
  <c r="H41" i="14" s="1"/>
  <c r="F34" i="14"/>
  <c r="P33" i="14"/>
  <c r="N33" i="14"/>
  <c r="J33" i="14"/>
  <c r="J60" i="14" s="1"/>
  <c r="F33" i="14"/>
  <c r="P32" i="14"/>
  <c r="N32" i="14"/>
  <c r="J32" i="14"/>
  <c r="J59" i="14" s="1"/>
  <c r="F32" i="14"/>
  <c r="P31" i="14"/>
  <c r="N31" i="14"/>
  <c r="J31" i="14"/>
  <c r="F31" i="14"/>
  <c r="P30" i="14"/>
  <c r="N30" i="14"/>
  <c r="J30" i="14"/>
  <c r="J57" i="14" s="1"/>
  <c r="F30" i="14"/>
  <c r="N28" i="14"/>
  <c r="J28" i="14"/>
  <c r="I34" i="14"/>
  <c r="I41" i="14" s="1"/>
  <c r="G34" i="14"/>
  <c r="G41" i="14" s="1"/>
  <c r="F27" i="14"/>
  <c r="P26" i="14"/>
  <c r="N26" i="14"/>
  <c r="J26" i="14"/>
  <c r="F26" i="14"/>
  <c r="P25" i="14"/>
  <c r="N25" i="14"/>
  <c r="J25" i="14"/>
  <c r="F25" i="14"/>
  <c r="P24" i="14"/>
  <c r="N24" i="14"/>
  <c r="J24" i="14"/>
  <c r="F24" i="14"/>
  <c r="P23" i="14"/>
  <c r="N23" i="14"/>
  <c r="J23" i="14"/>
  <c r="F23" i="14"/>
  <c r="P22" i="14"/>
  <c r="N22" i="14"/>
  <c r="J22" i="14"/>
  <c r="O22" i="14" s="1"/>
  <c r="F22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Q15" i="14"/>
  <c r="Q14" i="14"/>
  <c r="Q13" i="14"/>
  <c r="Q7" i="14"/>
  <c r="Q6" i="14"/>
  <c r="Q5" i="14"/>
  <c r="Q4" i="14"/>
  <c r="P15" i="14"/>
  <c r="P14" i="14"/>
  <c r="P7" i="14"/>
  <c r="P6" i="14"/>
  <c r="P5" i="14"/>
  <c r="P4" i="14"/>
  <c r="N15" i="14"/>
  <c r="N14" i="14"/>
  <c r="N13" i="14"/>
  <c r="N12" i="14"/>
  <c r="N57" i="14" s="1"/>
  <c r="N11" i="14"/>
  <c r="N10" i="14"/>
  <c r="N8" i="14"/>
  <c r="N7" i="14"/>
  <c r="N6" i="14"/>
  <c r="N5" i="14"/>
  <c r="N4" i="14"/>
  <c r="J11" i="14"/>
  <c r="J10" i="14"/>
  <c r="J9" i="14"/>
  <c r="J8" i="14"/>
  <c r="J7" i="14"/>
  <c r="J6" i="14"/>
  <c r="J5" i="14"/>
  <c r="J4" i="14"/>
  <c r="H16" i="14"/>
  <c r="H61" i="14" s="1"/>
  <c r="Q15" i="16" l="1"/>
  <c r="Q37" i="16"/>
  <c r="J55" i="14"/>
  <c r="G44" i="16"/>
  <c r="E44" i="16" s="1"/>
  <c r="N50" i="14"/>
  <c r="N51" i="14"/>
  <c r="N52" i="14"/>
  <c r="N53" i="14"/>
  <c r="N58" i="14"/>
  <c r="N59" i="14"/>
  <c r="N60" i="14"/>
  <c r="N55" i="14"/>
  <c r="N56" i="14"/>
  <c r="O9" i="14"/>
  <c r="J56" i="14"/>
  <c r="O56" i="14" s="1"/>
  <c r="R8" i="14"/>
  <c r="O8" i="14"/>
  <c r="O23" i="14"/>
  <c r="J50" i="14"/>
  <c r="O24" i="14"/>
  <c r="J51" i="14"/>
  <c r="O25" i="14"/>
  <c r="J52" i="14"/>
  <c r="O26" i="14"/>
  <c r="J53" i="14"/>
  <c r="O53" i="14" s="1"/>
  <c r="O31" i="14"/>
  <c r="J58" i="14"/>
  <c r="E15" i="16"/>
  <c r="J205" i="2"/>
  <c r="G38" i="16"/>
  <c r="F6" i="12" s="1"/>
  <c r="E37" i="16"/>
  <c r="O29" i="14"/>
  <c r="R29" i="14"/>
  <c r="U37" i="16"/>
  <c r="V218" i="2"/>
  <c r="T218" i="2"/>
  <c r="O32" i="14"/>
  <c r="N49" i="14"/>
  <c r="O55" i="14"/>
  <c r="O30" i="14"/>
  <c r="F38" i="16"/>
  <c r="E6" i="12" s="1"/>
  <c r="W37" i="16"/>
  <c r="R4" i="16"/>
  <c r="N44" i="16"/>
  <c r="S44" i="16" s="1"/>
  <c r="O4" i="14"/>
  <c r="J49" i="14"/>
  <c r="O49" i="14" s="1"/>
  <c r="O6" i="14"/>
  <c r="O5" i="14"/>
  <c r="O50" i="14"/>
  <c r="O7" i="14"/>
  <c r="O52" i="14"/>
  <c r="O11" i="14"/>
  <c r="O13" i="14"/>
  <c r="O15" i="14"/>
  <c r="O58" i="14"/>
  <c r="I16" i="14"/>
  <c r="K61" i="14"/>
  <c r="H40" i="14"/>
  <c r="H42" i="14" s="1"/>
  <c r="L40" i="14"/>
  <c r="O12" i="14"/>
  <c r="O14" i="14"/>
  <c r="O57" i="14"/>
  <c r="G16" i="14"/>
  <c r="M16" i="14"/>
  <c r="O33" i="14"/>
  <c r="O60" i="14"/>
  <c r="P59" i="14"/>
  <c r="L61" i="14"/>
  <c r="P61" i="14" s="1"/>
  <c r="K40" i="14"/>
  <c r="W44" i="16"/>
  <c r="V44" i="16"/>
  <c r="S15" i="16"/>
  <c r="L38" i="16"/>
  <c r="T38" i="16" s="1"/>
  <c r="T37" i="16"/>
  <c r="R4" i="14"/>
  <c r="N9" i="14"/>
  <c r="R9" i="14" s="1"/>
  <c r="R11" i="14"/>
  <c r="R13" i="14"/>
  <c r="R15" i="14"/>
  <c r="R31" i="14"/>
  <c r="R5" i="14"/>
  <c r="R7" i="14"/>
  <c r="R6" i="14"/>
  <c r="R12" i="14"/>
  <c r="R14" i="14"/>
  <c r="P34" i="14"/>
  <c r="P41" i="14" s="1"/>
  <c r="R28" i="14"/>
  <c r="R22" i="14"/>
  <c r="O28" i="14"/>
  <c r="R23" i="14"/>
  <c r="R25" i="14"/>
  <c r="R33" i="14"/>
  <c r="J16" i="14"/>
  <c r="J16" i="18" s="1"/>
  <c r="R24" i="14"/>
  <c r="R26" i="14"/>
  <c r="R30" i="14"/>
  <c r="R32" i="14"/>
  <c r="P16" i="14"/>
  <c r="J27" i="14"/>
  <c r="N27" i="14"/>
  <c r="D16" i="12" l="1"/>
  <c r="D17" i="12"/>
  <c r="D25" i="12"/>
  <c r="D20" i="12"/>
  <c r="D22" i="12"/>
  <c r="D19" i="12"/>
  <c r="D18" i="12"/>
  <c r="D14" i="12"/>
  <c r="D15" i="12"/>
  <c r="D24" i="12"/>
  <c r="D21" i="12"/>
  <c r="D23" i="12"/>
  <c r="R56" i="14"/>
  <c r="E23" i="18"/>
  <c r="F23" i="18" s="1"/>
  <c r="R51" i="14"/>
  <c r="Q16" i="14"/>
  <c r="N34" i="14"/>
  <c r="N41" i="14" s="1"/>
  <c r="N54" i="14"/>
  <c r="J34" i="14"/>
  <c r="J15" i="18" s="1"/>
  <c r="J54" i="14"/>
  <c r="V38" i="16"/>
  <c r="W38" i="16"/>
  <c r="Q38" i="16"/>
  <c r="R38" i="16" s="1"/>
  <c r="E38" i="16"/>
  <c r="R15" i="16"/>
  <c r="R58" i="14"/>
  <c r="R52" i="14"/>
  <c r="R55" i="14"/>
  <c r="R49" i="14"/>
  <c r="J61" i="14"/>
  <c r="O61" i="14" s="1"/>
  <c r="J17" i="18"/>
  <c r="R50" i="14"/>
  <c r="R189" i="2"/>
  <c r="R53" i="14"/>
  <c r="O16" i="14"/>
  <c r="O59" i="14"/>
  <c r="J40" i="14"/>
  <c r="O40" i="14" s="1"/>
  <c r="R57" i="14"/>
  <c r="K42" i="14"/>
  <c r="M61" i="14"/>
  <c r="M40" i="14"/>
  <c r="G61" i="14"/>
  <c r="G40" i="14"/>
  <c r="G42" i="14" s="1"/>
  <c r="P40" i="14"/>
  <c r="L42" i="14"/>
  <c r="P42" i="14" s="1"/>
  <c r="R60" i="14"/>
  <c r="I61" i="14"/>
  <c r="I40" i="14"/>
  <c r="I42" i="14" s="1"/>
  <c r="O51" i="14"/>
  <c r="S37" i="16"/>
  <c r="N38" i="16"/>
  <c r="O6" i="12"/>
  <c r="N6" i="12"/>
  <c r="N16" i="14"/>
  <c r="K16" i="18" s="1"/>
  <c r="O27" i="14"/>
  <c r="R27" i="14"/>
  <c r="J41" i="14" l="1"/>
  <c r="O41" i="14" s="1"/>
  <c r="K15" i="18"/>
  <c r="L15" i="18" s="1"/>
  <c r="R34" i="14"/>
  <c r="O34" i="14"/>
  <c r="D26" i="12"/>
  <c r="R43" i="16"/>
  <c r="R16" i="14"/>
  <c r="R37" i="16"/>
  <c r="Q44" i="16"/>
  <c r="R44" i="16" s="1"/>
  <c r="O54" i="14"/>
  <c r="L16" i="18"/>
  <c r="K17" i="18"/>
  <c r="K29" i="18" s="1"/>
  <c r="J29" i="18"/>
  <c r="Q40" i="14"/>
  <c r="M42" i="14"/>
  <c r="R54" i="14"/>
  <c r="R41" i="14"/>
  <c r="R59" i="14"/>
  <c r="N40" i="14"/>
  <c r="S38" i="16"/>
  <c r="H6" i="12"/>
  <c r="E96" i="5"/>
  <c r="D96" i="5"/>
  <c r="C96" i="5"/>
  <c r="H95" i="5"/>
  <c r="G95" i="5"/>
  <c r="F95" i="5"/>
  <c r="H94" i="5"/>
  <c r="G94" i="5"/>
  <c r="F94" i="5"/>
  <c r="H93" i="5"/>
  <c r="G93" i="5"/>
  <c r="F93" i="5"/>
  <c r="H92" i="5"/>
  <c r="G92" i="5"/>
  <c r="F92" i="5"/>
  <c r="H91" i="5"/>
  <c r="G91" i="5"/>
  <c r="F91" i="5"/>
  <c r="H90" i="5"/>
  <c r="G90" i="5"/>
  <c r="F90" i="5"/>
  <c r="H89" i="5"/>
  <c r="G89" i="5"/>
  <c r="F89" i="5"/>
  <c r="H88" i="5"/>
  <c r="G88" i="5"/>
  <c r="F88" i="5"/>
  <c r="H87" i="5"/>
  <c r="G87" i="5"/>
  <c r="F87" i="5"/>
  <c r="H86" i="5"/>
  <c r="G86" i="5"/>
  <c r="F86" i="5"/>
  <c r="H85" i="5"/>
  <c r="G85" i="5"/>
  <c r="F85" i="5"/>
  <c r="H84" i="5"/>
  <c r="G84" i="5"/>
  <c r="F84" i="5"/>
  <c r="E80" i="5"/>
  <c r="D80" i="5"/>
  <c r="C80" i="5"/>
  <c r="H79" i="5"/>
  <c r="G79" i="5"/>
  <c r="F79" i="5"/>
  <c r="H78" i="5"/>
  <c r="G78" i="5"/>
  <c r="F78" i="5"/>
  <c r="H77" i="5"/>
  <c r="G77" i="5"/>
  <c r="F77" i="5"/>
  <c r="H76" i="5"/>
  <c r="G76" i="5"/>
  <c r="F76" i="5"/>
  <c r="H75" i="5"/>
  <c r="G75" i="5"/>
  <c r="F75" i="5"/>
  <c r="H74" i="5"/>
  <c r="G74" i="5"/>
  <c r="F74" i="5"/>
  <c r="H73" i="5"/>
  <c r="G73" i="5"/>
  <c r="F73" i="5"/>
  <c r="H72" i="5"/>
  <c r="G72" i="5"/>
  <c r="F72" i="5"/>
  <c r="H71" i="5"/>
  <c r="G71" i="5"/>
  <c r="F71" i="5"/>
  <c r="H70" i="5"/>
  <c r="G70" i="5"/>
  <c r="F70" i="5"/>
  <c r="H69" i="5"/>
  <c r="G69" i="5"/>
  <c r="F69" i="5"/>
  <c r="H68" i="5"/>
  <c r="G68" i="5"/>
  <c r="F68" i="5"/>
  <c r="E64" i="5"/>
  <c r="D64" i="5"/>
  <c r="C64" i="5"/>
  <c r="H63" i="5"/>
  <c r="G63" i="5"/>
  <c r="F63" i="5"/>
  <c r="H62" i="5"/>
  <c r="G62" i="5"/>
  <c r="F62" i="5"/>
  <c r="H61" i="5"/>
  <c r="G61" i="5"/>
  <c r="F61" i="5"/>
  <c r="H60" i="5"/>
  <c r="G60" i="5"/>
  <c r="F60" i="5"/>
  <c r="H58" i="5"/>
  <c r="G58" i="5"/>
  <c r="F58" i="5"/>
  <c r="H57" i="5"/>
  <c r="G57" i="5"/>
  <c r="F57" i="5"/>
  <c r="H56" i="5"/>
  <c r="G56" i="5"/>
  <c r="F56" i="5"/>
  <c r="H55" i="5"/>
  <c r="G55" i="5"/>
  <c r="F55" i="5"/>
  <c r="H54" i="5"/>
  <c r="G54" i="5"/>
  <c r="F54" i="5"/>
  <c r="H53" i="5"/>
  <c r="G53" i="5"/>
  <c r="F53" i="5"/>
  <c r="H52" i="5"/>
  <c r="G52" i="5"/>
  <c r="F52" i="5"/>
  <c r="E48" i="5"/>
  <c r="D48" i="5"/>
  <c r="C48" i="5"/>
  <c r="H47" i="5"/>
  <c r="G47" i="5"/>
  <c r="F47" i="5"/>
  <c r="H39" i="5"/>
  <c r="G39" i="5"/>
  <c r="F39" i="5"/>
  <c r="H37" i="5"/>
  <c r="G37" i="5"/>
  <c r="F37" i="5"/>
  <c r="F31" i="5"/>
  <c r="F30" i="5"/>
  <c r="F29" i="5"/>
  <c r="F28" i="5"/>
  <c r="F27" i="5"/>
  <c r="F26" i="5"/>
  <c r="F25" i="5"/>
  <c r="F24" i="5"/>
  <c r="F23" i="5"/>
  <c r="F22" i="5"/>
  <c r="F21" i="5"/>
  <c r="F20" i="5"/>
  <c r="F15" i="5"/>
  <c r="F14" i="5"/>
  <c r="F13" i="5"/>
  <c r="F12" i="5"/>
  <c r="F11" i="5"/>
  <c r="F10" i="5"/>
  <c r="F9" i="5"/>
  <c r="F8" i="5"/>
  <c r="F7" i="5"/>
  <c r="F6" i="5"/>
  <c r="F5" i="5"/>
  <c r="F4" i="5"/>
  <c r="E32" i="5"/>
  <c r="E133" i="5" s="1"/>
  <c r="D32" i="5"/>
  <c r="D133" i="5" s="1"/>
  <c r="C32" i="5"/>
  <c r="C133" i="5" s="1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5" i="5"/>
  <c r="H14" i="5"/>
  <c r="H13" i="5"/>
  <c r="H12" i="5"/>
  <c r="H11" i="5"/>
  <c r="H10" i="5"/>
  <c r="H9" i="5"/>
  <c r="H8" i="5"/>
  <c r="H7" i="5"/>
  <c r="H6" i="5"/>
  <c r="H5" i="5"/>
  <c r="H4" i="5"/>
  <c r="G15" i="5"/>
  <c r="G14" i="5"/>
  <c r="G13" i="5"/>
  <c r="G12" i="5"/>
  <c r="G11" i="5"/>
  <c r="G10" i="5"/>
  <c r="G9" i="5"/>
  <c r="G8" i="5"/>
  <c r="G7" i="5"/>
  <c r="G6" i="5"/>
  <c r="G5" i="5"/>
  <c r="G4" i="5"/>
  <c r="D16" i="5"/>
  <c r="E16" i="5"/>
  <c r="C16" i="5"/>
  <c r="J42" i="14" l="1"/>
  <c r="B8" i="9" s="1"/>
  <c r="C8" i="9" s="1"/>
  <c r="I8" i="9" s="1"/>
  <c r="L29" i="18"/>
  <c r="L17" i="18"/>
  <c r="R40" i="14"/>
  <c r="N42" i="14"/>
  <c r="R42" i="14" s="1"/>
  <c r="N61" i="14"/>
  <c r="R61" i="14" s="1"/>
  <c r="M6" i="12"/>
  <c r="K6" i="12"/>
  <c r="F9" i="9"/>
  <c r="E134" i="5"/>
  <c r="F10" i="9" s="1"/>
  <c r="G10" i="9" s="1"/>
  <c r="H96" i="5"/>
  <c r="C134" i="5"/>
  <c r="D134" i="5"/>
  <c r="H80" i="5"/>
  <c r="F96" i="5"/>
  <c r="G96" i="5"/>
  <c r="F80" i="5"/>
  <c r="F64" i="5"/>
  <c r="H64" i="5"/>
  <c r="G80" i="5"/>
  <c r="H48" i="5"/>
  <c r="F48" i="5"/>
  <c r="G64" i="5"/>
  <c r="F32" i="5"/>
  <c r="G48" i="5"/>
  <c r="H32" i="5"/>
  <c r="H16" i="5"/>
  <c r="F16" i="5"/>
  <c r="G16" i="5"/>
  <c r="G32" i="5"/>
  <c r="E16" i="12" l="1"/>
  <c r="E17" i="12"/>
  <c r="F17" i="12" s="1"/>
  <c r="E21" i="12"/>
  <c r="E23" i="12"/>
  <c r="F23" i="12" s="1"/>
  <c r="E25" i="12"/>
  <c r="F25" i="12" s="1"/>
  <c r="E19" i="12"/>
  <c r="F19" i="12" s="1"/>
  <c r="E18" i="12"/>
  <c r="E14" i="12"/>
  <c r="F14" i="12" s="1"/>
  <c r="E15" i="12"/>
  <c r="E20" i="12"/>
  <c r="F20" i="12" s="1"/>
  <c r="E24" i="12"/>
  <c r="E22" i="12"/>
  <c r="F22" i="12" s="1"/>
  <c r="F15" i="12"/>
  <c r="F16" i="12"/>
  <c r="F24" i="12"/>
  <c r="F21" i="12"/>
  <c r="O42" i="14"/>
  <c r="H8" i="9"/>
  <c r="L6" i="12"/>
  <c r="H134" i="5"/>
  <c r="F133" i="5"/>
  <c r="E135" i="5"/>
  <c r="C135" i="5"/>
  <c r="H9" i="9"/>
  <c r="G9" i="9"/>
  <c r="F12" i="9" s="1"/>
  <c r="G133" i="5"/>
  <c r="D135" i="5"/>
  <c r="F13" i="9" s="1"/>
  <c r="H133" i="5"/>
  <c r="F134" i="5"/>
  <c r="G134" i="5"/>
  <c r="L84" i="10"/>
  <c r="K84" i="10"/>
  <c r="J84" i="10"/>
  <c r="I84" i="10"/>
  <c r="H84" i="10"/>
  <c r="G84" i="10"/>
  <c r="F84" i="10"/>
  <c r="D22" i="18" s="1"/>
  <c r="Q83" i="10"/>
  <c r="P83" i="10"/>
  <c r="O83" i="10"/>
  <c r="M83" i="10"/>
  <c r="N83" i="10" s="1"/>
  <c r="Q82" i="10"/>
  <c r="P82" i="10"/>
  <c r="O82" i="10"/>
  <c r="M82" i="10"/>
  <c r="N82" i="10" s="1"/>
  <c r="Q81" i="10"/>
  <c r="P81" i="10"/>
  <c r="O81" i="10"/>
  <c r="M81" i="10"/>
  <c r="N81" i="10" s="1"/>
  <c r="Q80" i="10"/>
  <c r="P80" i="10"/>
  <c r="O80" i="10"/>
  <c r="M80" i="10"/>
  <c r="N80" i="10" s="1"/>
  <c r="Q79" i="10"/>
  <c r="P79" i="10"/>
  <c r="O79" i="10"/>
  <c r="M79" i="10"/>
  <c r="N79" i="10" s="1"/>
  <c r="Q78" i="10"/>
  <c r="P78" i="10"/>
  <c r="O78" i="10"/>
  <c r="M78" i="10"/>
  <c r="N78" i="10" s="1"/>
  <c r="Q77" i="10"/>
  <c r="P77" i="10"/>
  <c r="O77" i="10"/>
  <c r="M77" i="10"/>
  <c r="N77" i="10" s="1"/>
  <c r="Q76" i="10"/>
  <c r="P76" i="10"/>
  <c r="O76" i="10"/>
  <c r="M76" i="10"/>
  <c r="N76" i="10" s="1"/>
  <c r="Q75" i="10"/>
  <c r="P75" i="10"/>
  <c r="O75" i="10"/>
  <c r="M75" i="10"/>
  <c r="N75" i="10" s="1"/>
  <c r="Q74" i="10"/>
  <c r="P74" i="10"/>
  <c r="O74" i="10"/>
  <c r="M74" i="10"/>
  <c r="N74" i="10" s="1"/>
  <c r="Q73" i="10"/>
  <c r="P73" i="10"/>
  <c r="O73" i="10"/>
  <c r="M73" i="10"/>
  <c r="N73" i="10" s="1"/>
  <c r="Q72" i="10"/>
  <c r="P72" i="10"/>
  <c r="O72" i="10"/>
  <c r="M72" i="10"/>
  <c r="D21" i="18"/>
  <c r="Q65" i="10"/>
  <c r="P65" i="10"/>
  <c r="O65" i="10"/>
  <c r="M65" i="10"/>
  <c r="N65" i="10" s="1"/>
  <c r="Q64" i="10"/>
  <c r="P64" i="10"/>
  <c r="O64" i="10"/>
  <c r="M64" i="10"/>
  <c r="N64" i="10" s="1"/>
  <c r="M63" i="10"/>
  <c r="M62" i="10"/>
  <c r="M61" i="10"/>
  <c r="M60" i="10"/>
  <c r="Q59" i="10"/>
  <c r="P59" i="10"/>
  <c r="O59" i="10"/>
  <c r="M59" i="10"/>
  <c r="N59" i="10" s="1"/>
  <c r="Q58" i="10"/>
  <c r="P58" i="10"/>
  <c r="O58" i="10"/>
  <c r="M58" i="10"/>
  <c r="N58" i="10" s="1"/>
  <c r="Q57" i="10"/>
  <c r="P57" i="10"/>
  <c r="O57" i="10"/>
  <c r="M57" i="10"/>
  <c r="N57" i="10" s="1"/>
  <c r="Q56" i="10"/>
  <c r="P56" i="10"/>
  <c r="O56" i="10"/>
  <c r="M56" i="10"/>
  <c r="Q55" i="10"/>
  <c r="P55" i="10"/>
  <c r="O55" i="10"/>
  <c r="M55" i="10"/>
  <c r="L50" i="10"/>
  <c r="K50" i="10"/>
  <c r="J50" i="10"/>
  <c r="I50" i="10"/>
  <c r="H50" i="10"/>
  <c r="G50" i="10"/>
  <c r="F50" i="10"/>
  <c r="D20" i="18" s="1"/>
  <c r="Q49" i="10"/>
  <c r="P49" i="10"/>
  <c r="O49" i="10"/>
  <c r="M49" i="10"/>
  <c r="N49" i="10" s="1"/>
  <c r="Q48" i="10"/>
  <c r="P48" i="10"/>
  <c r="O48" i="10"/>
  <c r="M48" i="10"/>
  <c r="N48" i="10" s="1"/>
  <c r="Q47" i="10"/>
  <c r="P47" i="10"/>
  <c r="O47" i="10"/>
  <c r="M47" i="10"/>
  <c r="N47" i="10" s="1"/>
  <c r="Q46" i="10"/>
  <c r="P46" i="10"/>
  <c r="O46" i="10"/>
  <c r="M46" i="10"/>
  <c r="N46" i="10" s="1"/>
  <c r="M45" i="10"/>
  <c r="M44" i="10"/>
  <c r="M43" i="10"/>
  <c r="M42" i="10"/>
  <c r="N42" i="10" s="1"/>
  <c r="Q41" i="10"/>
  <c r="P41" i="10"/>
  <c r="O41" i="10"/>
  <c r="M41" i="10"/>
  <c r="N41" i="10" s="1"/>
  <c r="Q40" i="10"/>
  <c r="P40" i="10"/>
  <c r="O40" i="10"/>
  <c r="M40" i="10"/>
  <c r="N40" i="10" s="1"/>
  <c r="Q39" i="10"/>
  <c r="P39" i="10"/>
  <c r="O39" i="10"/>
  <c r="M39" i="10"/>
  <c r="N39" i="10" s="1"/>
  <c r="Q38" i="10"/>
  <c r="P38" i="10"/>
  <c r="O38" i="10"/>
  <c r="M38" i="10"/>
  <c r="L33" i="10"/>
  <c r="K33" i="10"/>
  <c r="J33" i="10"/>
  <c r="I33" i="10"/>
  <c r="H33" i="10"/>
  <c r="G33" i="10"/>
  <c r="F33" i="10"/>
  <c r="D25" i="18" s="1"/>
  <c r="Q32" i="10"/>
  <c r="P32" i="10"/>
  <c r="O32" i="10"/>
  <c r="M32" i="10"/>
  <c r="N32" i="10" s="1"/>
  <c r="Q31" i="10"/>
  <c r="P31" i="10"/>
  <c r="O31" i="10"/>
  <c r="M31" i="10"/>
  <c r="N31" i="10" s="1"/>
  <c r="Q30" i="10"/>
  <c r="P30" i="10"/>
  <c r="O30" i="10"/>
  <c r="M30" i="10"/>
  <c r="N30" i="10" s="1"/>
  <c r="Q29" i="10"/>
  <c r="P29" i="10"/>
  <c r="O29" i="10"/>
  <c r="M29" i="10"/>
  <c r="N29" i="10" s="1"/>
  <c r="M28" i="10"/>
  <c r="M27" i="10"/>
  <c r="M26" i="10"/>
  <c r="N26" i="10" s="1"/>
  <c r="M25" i="10"/>
  <c r="N25" i="10" s="1"/>
  <c r="Q24" i="10"/>
  <c r="P24" i="10"/>
  <c r="O24" i="10"/>
  <c r="M24" i="10"/>
  <c r="N24" i="10" s="1"/>
  <c r="Q23" i="10"/>
  <c r="P23" i="10"/>
  <c r="O23" i="10"/>
  <c r="M23" i="10"/>
  <c r="N23" i="10" s="1"/>
  <c r="Q22" i="10"/>
  <c r="P22" i="10"/>
  <c r="O22" i="10"/>
  <c r="M22" i="10"/>
  <c r="N22" i="10" s="1"/>
  <c r="Q21" i="10"/>
  <c r="P21" i="10"/>
  <c r="O21" i="10"/>
  <c r="M21" i="10"/>
  <c r="L16" i="10"/>
  <c r="K16" i="10"/>
  <c r="J16" i="10"/>
  <c r="I16" i="10"/>
  <c r="H16" i="10"/>
  <c r="G16" i="10"/>
  <c r="F16" i="10"/>
  <c r="D18" i="18" s="1"/>
  <c r="Q15" i="10"/>
  <c r="P15" i="10"/>
  <c r="O15" i="10"/>
  <c r="M15" i="10"/>
  <c r="N15" i="10" s="1"/>
  <c r="Q14" i="10"/>
  <c r="P14" i="10"/>
  <c r="O14" i="10"/>
  <c r="M14" i="10"/>
  <c r="N14" i="10" s="1"/>
  <c r="Q13" i="10"/>
  <c r="P13" i="10"/>
  <c r="O13" i="10"/>
  <c r="M13" i="10"/>
  <c r="N13" i="10" s="1"/>
  <c r="Q12" i="10"/>
  <c r="P12" i="10"/>
  <c r="O12" i="10"/>
  <c r="M12" i="10"/>
  <c r="N12" i="10" s="1"/>
  <c r="M11" i="10"/>
  <c r="N11" i="10" s="1"/>
  <c r="Q10" i="10"/>
  <c r="P10" i="10"/>
  <c r="O10" i="10"/>
  <c r="M10" i="10"/>
  <c r="N10" i="10" s="1"/>
  <c r="Q9" i="10"/>
  <c r="P9" i="10"/>
  <c r="O9" i="10"/>
  <c r="N9" i="10"/>
  <c r="Q8" i="10"/>
  <c r="P8" i="10"/>
  <c r="O8" i="10"/>
  <c r="M8" i="10"/>
  <c r="N8" i="10" s="1"/>
  <c r="Q7" i="10"/>
  <c r="P7" i="10"/>
  <c r="O7" i="10"/>
  <c r="M7" i="10"/>
  <c r="N7" i="10" s="1"/>
  <c r="Q6" i="10"/>
  <c r="P6" i="10"/>
  <c r="O6" i="10"/>
  <c r="M6" i="10"/>
  <c r="N6" i="10" s="1"/>
  <c r="Q5" i="10"/>
  <c r="P5" i="10"/>
  <c r="O5" i="10"/>
  <c r="M5" i="10"/>
  <c r="N5" i="10" s="1"/>
  <c r="Q4" i="10"/>
  <c r="P4" i="10"/>
  <c r="O4" i="10"/>
  <c r="M4" i="10"/>
  <c r="L67" i="1"/>
  <c r="K67" i="1"/>
  <c r="J67" i="1"/>
  <c r="I67" i="1"/>
  <c r="H67" i="1"/>
  <c r="G67" i="1"/>
  <c r="F67" i="1"/>
  <c r="D6" i="18" s="1"/>
  <c r="Q66" i="1"/>
  <c r="P66" i="1"/>
  <c r="O66" i="1"/>
  <c r="M66" i="1"/>
  <c r="N66" i="1" s="1"/>
  <c r="Q65" i="1"/>
  <c r="P65" i="1"/>
  <c r="O65" i="1"/>
  <c r="M65" i="1"/>
  <c r="N65" i="1" s="1"/>
  <c r="Q64" i="1"/>
  <c r="P64" i="1"/>
  <c r="O64" i="1"/>
  <c r="M64" i="1"/>
  <c r="N64" i="1" s="1"/>
  <c r="Q63" i="1"/>
  <c r="P63" i="1"/>
  <c r="O63" i="1"/>
  <c r="M63" i="1"/>
  <c r="N63" i="1" s="1"/>
  <c r="Q62" i="1"/>
  <c r="P62" i="1"/>
  <c r="O62" i="1"/>
  <c r="M62" i="1"/>
  <c r="N62" i="1" s="1"/>
  <c r="Q61" i="1"/>
  <c r="P61" i="1"/>
  <c r="O61" i="1"/>
  <c r="M61" i="1"/>
  <c r="N61" i="1" s="1"/>
  <c r="Q60" i="1"/>
  <c r="P60" i="1"/>
  <c r="O60" i="1"/>
  <c r="M60" i="1"/>
  <c r="N60" i="1" s="1"/>
  <c r="Q59" i="1"/>
  <c r="P59" i="1"/>
  <c r="O59" i="1"/>
  <c r="M59" i="1"/>
  <c r="N59" i="1" s="1"/>
  <c r="Q58" i="1"/>
  <c r="P58" i="1"/>
  <c r="O58" i="1"/>
  <c r="M58" i="1"/>
  <c r="N58" i="1" s="1"/>
  <c r="Q57" i="1"/>
  <c r="P57" i="1"/>
  <c r="O57" i="1"/>
  <c r="M57" i="1"/>
  <c r="N57" i="1" s="1"/>
  <c r="Q56" i="1"/>
  <c r="P56" i="1"/>
  <c r="O56" i="1"/>
  <c r="M56" i="1"/>
  <c r="N56" i="1" s="1"/>
  <c r="Q55" i="1"/>
  <c r="P55" i="1"/>
  <c r="O55" i="1"/>
  <c r="M55" i="1"/>
  <c r="N55" i="1" s="1"/>
  <c r="L50" i="1"/>
  <c r="K50" i="1"/>
  <c r="J50" i="1"/>
  <c r="I50" i="1"/>
  <c r="H50" i="1"/>
  <c r="G50" i="1"/>
  <c r="F50" i="1"/>
  <c r="D5" i="18" s="1"/>
  <c r="Q49" i="1"/>
  <c r="P49" i="1"/>
  <c r="O49" i="1"/>
  <c r="M49" i="1"/>
  <c r="N49" i="1" s="1"/>
  <c r="Q48" i="1"/>
  <c r="P48" i="1"/>
  <c r="O48" i="1"/>
  <c r="M48" i="1"/>
  <c r="N48" i="1" s="1"/>
  <c r="Q47" i="1"/>
  <c r="P47" i="1"/>
  <c r="O47" i="1"/>
  <c r="M47" i="1"/>
  <c r="N47" i="1" s="1"/>
  <c r="Q46" i="1"/>
  <c r="P46" i="1"/>
  <c r="O46" i="1"/>
  <c r="M46" i="1"/>
  <c r="N46" i="1" s="1"/>
  <c r="M45" i="1"/>
  <c r="Q44" i="1"/>
  <c r="P44" i="1"/>
  <c r="O44" i="1"/>
  <c r="M44" i="1"/>
  <c r="N44" i="1" s="1"/>
  <c r="Q43" i="1"/>
  <c r="P43" i="1"/>
  <c r="O43" i="1"/>
  <c r="M43" i="1"/>
  <c r="N43" i="1" s="1"/>
  <c r="Q42" i="1"/>
  <c r="P42" i="1"/>
  <c r="O42" i="1"/>
  <c r="M42" i="1"/>
  <c r="N42" i="1" s="1"/>
  <c r="Q41" i="1"/>
  <c r="P41" i="1"/>
  <c r="O41" i="1"/>
  <c r="M41" i="1"/>
  <c r="N41" i="1" s="1"/>
  <c r="Q40" i="1"/>
  <c r="P40" i="1"/>
  <c r="O40" i="1"/>
  <c r="M40" i="1"/>
  <c r="N40" i="1" s="1"/>
  <c r="Q39" i="1"/>
  <c r="P39" i="1"/>
  <c r="O39" i="1"/>
  <c r="M39" i="1"/>
  <c r="N39" i="1" s="1"/>
  <c r="Q38" i="1"/>
  <c r="P38" i="1"/>
  <c r="O38" i="1"/>
  <c r="M38" i="1"/>
  <c r="L33" i="1"/>
  <c r="K33" i="1"/>
  <c r="J33" i="1"/>
  <c r="I33" i="1"/>
  <c r="H33" i="1"/>
  <c r="G33" i="1"/>
  <c r="F33" i="1"/>
  <c r="D13" i="18" s="1"/>
  <c r="D14" i="18" s="1"/>
  <c r="Q32" i="1"/>
  <c r="P32" i="1"/>
  <c r="O32" i="1"/>
  <c r="M32" i="1"/>
  <c r="N32" i="1" s="1"/>
  <c r="Q31" i="1"/>
  <c r="P31" i="1"/>
  <c r="O31" i="1"/>
  <c r="M31" i="1"/>
  <c r="N31" i="1" s="1"/>
  <c r="Q30" i="1"/>
  <c r="P30" i="1"/>
  <c r="O30" i="1"/>
  <c r="M30" i="1"/>
  <c r="N30" i="1" s="1"/>
  <c r="Q29" i="1"/>
  <c r="P29" i="1"/>
  <c r="O29" i="1"/>
  <c r="M29" i="1"/>
  <c r="N29" i="1" s="1"/>
  <c r="Q28" i="1"/>
  <c r="P28" i="1"/>
  <c r="O28" i="1"/>
  <c r="M28" i="1"/>
  <c r="N28" i="1" s="1"/>
  <c r="Q27" i="1"/>
  <c r="P27" i="1"/>
  <c r="O27" i="1"/>
  <c r="M27" i="1"/>
  <c r="N27" i="1" s="1"/>
  <c r="Q26" i="1"/>
  <c r="P26" i="1"/>
  <c r="O26" i="1"/>
  <c r="M26" i="1"/>
  <c r="N26" i="1" s="1"/>
  <c r="Q25" i="1"/>
  <c r="P25" i="1"/>
  <c r="O25" i="1"/>
  <c r="M25" i="1"/>
  <c r="N25" i="1" s="1"/>
  <c r="Q24" i="1"/>
  <c r="P24" i="1"/>
  <c r="O24" i="1"/>
  <c r="M24" i="1"/>
  <c r="N24" i="1" s="1"/>
  <c r="Q23" i="1"/>
  <c r="P23" i="1"/>
  <c r="O23" i="1"/>
  <c r="M23" i="1"/>
  <c r="N23" i="1" s="1"/>
  <c r="Q22" i="1"/>
  <c r="P22" i="1"/>
  <c r="O22" i="1"/>
  <c r="M22" i="1"/>
  <c r="N22" i="1" s="1"/>
  <c r="Q21" i="1"/>
  <c r="P21" i="1"/>
  <c r="O21" i="1"/>
  <c r="M21" i="1"/>
  <c r="O8" i="1"/>
  <c r="P8" i="1"/>
  <c r="Q8" i="1"/>
  <c r="O9" i="1"/>
  <c r="Q9" i="1"/>
  <c r="O10" i="1"/>
  <c r="P10" i="1"/>
  <c r="Q10" i="1"/>
  <c r="O11" i="1"/>
  <c r="P11" i="1"/>
  <c r="Q11" i="1"/>
  <c r="N56" i="10" l="1"/>
  <c r="M67" i="10"/>
  <c r="F18" i="12"/>
  <c r="E26" i="12"/>
  <c r="F26" i="12" s="1"/>
  <c r="D28" i="18"/>
  <c r="D8" i="18"/>
  <c r="D24" i="18"/>
  <c r="F135" i="5"/>
  <c r="E16" i="10"/>
  <c r="F89" i="10"/>
  <c r="F90" i="10" s="1"/>
  <c r="E7" i="12" s="1"/>
  <c r="H89" i="10"/>
  <c r="J89" i="10"/>
  <c r="L89" i="10"/>
  <c r="L90" i="10" s="1"/>
  <c r="J7" i="12" s="1"/>
  <c r="M33" i="10"/>
  <c r="G89" i="10"/>
  <c r="I89" i="10"/>
  <c r="I90" i="10" s="1"/>
  <c r="K89" i="10"/>
  <c r="H135" i="5"/>
  <c r="G135" i="5"/>
  <c r="I9" i="9"/>
  <c r="Q50" i="10"/>
  <c r="Q33" i="10"/>
  <c r="E33" i="10"/>
  <c r="P33" i="10"/>
  <c r="O33" i="10"/>
  <c r="E50" i="1"/>
  <c r="M67" i="1"/>
  <c r="E67" i="1"/>
  <c r="P67" i="1"/>
  <c r="O67" i="1"/>
  <c r="Q67" i="1"/>
  <c r="M33" i="1"/>
  <c r="E13" i="18" s="1"/>
  <c r="E33" i="1"/>
  <c r="P16" i="10"/>
  <c r="O16" i="10"/>
  <c r="Q16" i="10"/>
  <c r="M16" i="10"/>
  <c r="E67" i="10"/>
  <c r="P67" i="10"/>
  <c r="O67" i="10"/>
  <c r="Q67" i="10"/>
  <c r="E50" i="10"/>
  <c r="P50" i="10"/>
  <c r="O50" i="10"/>
  <c r="M50" i="10"/>
  <c r="Q84" i="10"/>
  <c r="E84" i="10"/>
  <c r="P84" i="10"/>
  <c r="O84" i="10"/>
  <c r="M84" i="10"/>
  <c r="E22" i="18" s="1"/>
  <c r="N72" i="10"/>
  <c r="N4" i="10"/>
  <c r="N21" i="10"/>
  <c r="N38" i="10"/>
  <c r="N55" i="10"/>
  <c r="Q33" i="1"/>
  <c r="M50" i="1"/>
  <c r="Q50" i="1"/>
  <c r="P33" i="1"/>
  <c r="O33" i="1"/>
  <c r="P50" i="1"/>
  <c r="O50" i="1"/>
  <c r="N38" i="1"/>
  <c r="N21" i="1"/>
  <c r="M89" i="10" l="1"/>
  <c r="G90" i="10"/>
  <c r="F7" i="12" s="1"/>
  <c r="E89" i="10"/>
  <c r="F13" i="18"/>
  <c r="E14" i="18"/>
  <c r="F14" i="18" s="1"/>
  <c r="N33" i="10"/>
  <c r="E25" i="18"/>
  <c r="N50" i="1"/>
  <c r="E5" i="18"/>
  <c r="N67" i="1"/>
  <c r="E6" i="18"/>
  <c r="N50" i="10"/>
  <c r="E20" i="18"/>
  <c r="N67" i="10"/>
  <c r="E21" i="18"/>
  <c r="F22" i="18"/>
  <c r="N16" i="10"/>
  <c r="E18" i="18"/>
  <c r="N33" i="1"/>
  <c r="Q89" i="10"/>
  <c r="K90" i="10"/>
  <c r="E90" i="10"/>
  <c r="H90" i="10"/>
  <c r="P89" i="10"/>
  <c r="N84" i="10"/>
  <c r="J90" i="10"/>
  <c r="O89" i="10"/>
  <c r="V149" i="11"/>
  <c r="E147" i="11"/>
  <c r="E5" i="13" s="1"/>
  <c r="W149" i="11"/>
  <c r="U149" i="11"/>
  <c r="T149" i="11"/>
  <c r="S149" i="11"/>
  <c r="E150" i="11"/>
  <c r="T133" i="11"/>
  <c r="T131" i="11"/>
  <c r="T129" i="11"/>
  <c r="G27" i="18"/>
  <c r="W140" i="11"/>
  <c r="V140" i="11"/>
  <c r="U140" i="11"/>
  <c r="T140" i="11"/>
  <c r="S140" i="11"/>
  <c r="Q140" i="11"/>
  <c r="Q141" i="11" s="1"/>
  <c r="J140" i="11"/>
  <c r="W138" i="11"/>
  <c r="V138" i="11"/>
  <c r="U138" i="11"/>
  <c r="T138" i="11"/>
  <c r="S138" i="11"/>
  <c r="Q138" i="11"/>
  <c r="R138" i="11" s="1"/>
  <c r="J138" i="11"/>
  <c r="W137" i="11"/>
  <c r="V137" i="11"/>
  <c r="U137" i="11"/>
  <c r="T137" i="11"/>
  <c r="S137" i="11"/>
  <c r="Q137" i="11"/>
  <c r="R137" i="11" s="1"/>
  <c r="J137" i="11"/>
  <c r="W136" i="11"/>
  <c r="V136" i="11"/>
  <c r="U136" i="11"/>
  <c r="T136" i="11"/>
  <c r="S136" i="11"/>
  <c r="Q136" i="11"/>
  <c r="R136" i="11" s="1"/>
  <c r="J136" i="11"/>
  <c r="W135" i="11"/>
  <c r="V135" i="11"/>
  <c r="U135" i="11"/>
  <c r="T135" i="11"/>
  <c r="S135" i="11"/>
  <c r="Q135" i="11"/>
  <c r="R135" i="11" s="1"/>
  <c r="W134" i="11"/>
  <c r="V134" i="11"/>
  <c r="U134" i="11"/>
  <c r="T134" i="11"/>
  <c r="S134" i="11"/>
  <c r="Q134" i="11"/>
  <c r="R134" i="11" s="1"/>
  <c r="J134" i="11"/>
  <c r="W133" i="11"/>
  <c r="V133" i="11"/>
  <c r="U133" i="11"/>
  <c r="S133" i="11"/>
  <c r="J133" i="11"/>
  <c r="W132" i="11"/>
  <c r="V132" i="11"/>
  <c r="U132" i="11"/>
  <c r="T132" i="11"/>
  <c r="S132" i="11"/>
  <c r="Q132" i="11"/>
  <c r="R132" i="11" s="1"/>
  <c r="J132" i="11"/>
  <c r="W131" i="11"/>
  <c r="V131" i="11"/>
  <c r="U131" i="11"/>
  <c r="S131" i="11"/>
  <c r="Q131" i="11"/>
  <c r="R131" i="11" s="1"/>
  <c r="J131" i="11"/>
  <c r="W130" i="11"/>
  <c r="U130" i="11"/>
  <c r="T130" i="11"/>
  <c r="S130" i="11"/>
  <c r="Q130" i="11"/>
  <c r="J130" i="11"/>
  <c r="W129" i="11"/>
  <c r="U129" i="11"/>
  <c r="S129" i="11"/>
  <c r="J129" i="11"/>
  <c r="V128" i="11"/>
  <c r="U128" i="11"/>
  <c r="S128" i="11"/>
  <c r="V141" i="11"/>
  <c r="J128" i="11"/>
  <c r="T113" i="11"/>
  <c r="T112" i="11"/>
  <c r="T111" i="11"/>
  <c r="T110" i="11"/>
  <c r="G19" i="18"/>
  <c r="W122" i="11"/>
  <c r="V122" i="11"/>
  <c r="U122" i="11"/>
  <c r="T122" i="11"/>
  <c r="S122" i="11"/>
  <c r="Q122" i="11"/>
  <c r="R122" i="11" s="1"/>
  <c r="J122" i="11"/>
  <c r="W120" i="11"/>
  <c r="V120" i="11"/>
  <c r="U120" i="11"/>
  <c r="T120" i="11"/>
  <c r="S120" i="11"/>
  <c r="Q120" i="11"/>
  <c r="R120" i="11" s="1"/>
  <c r="J120" i="11"/>
  <c r="W119" i="11"/>
  <c r="V119" i="11"/>
  <c r="U119" i="11"/>
  <c r="T119" i="11"/>
  <c r="S119" i="11"/>
  <c r="Q119" i="11"/>
  <c r="R119" i="11" s="1"/>
  <c r="J119" i="11"/>
  <c r="W118" i="11"/>
  <c r="V118" i="11"/>
  <c r="U118" i="11"/>
  <c r="T118" i="11"/>
  <c r="S118" i="11"/>
  <c r="Q118" i="11"/>
  <c r="R118" i="11" s="1"/>
  <c r="J118" i="11"/>
  <c r="W117" i="11"/>
  <c r="V117" i="11"/>
  <c r="U117" i="11"/>
  <c r="T117" i="11"/>
  <c r="S117" i="11"/>
  <c r="Q117" i="11"/>
  <c r="R117" i="11" s="1"/>
  <c r="J117" i="11"/>
  <c r="W116" i="11"/>
  <c r="V116" i="11"/>
  <c r="U116" i="11"/>
  <c r="T116" i="11"/>
  <c r="S116" i="11"/>
  <c r="Q116" i="11"/>
  <c r="R116" i="11" s="1"/>
  <c r="J116" i="11"/>
  <c r="W115" i="11"/>
  <c r="V115" i="11"/>
  <c r="U115" i="11"/>
  <c r="T115" i="11"/>
  <c r="S115" i="11"/>
  <c r="Q115" i="11"/>
  <c r="R115" i="11" s="1"/>
  <c r="J115" i="11"/>
  <c r="W114" i="11"/>
  <c r="V114" i="11"/>
  <c r="U114" i="11"/>
  <c r="T114" i="11"/>
  <c r="S114" i="11"/>
  <c r="Q114" i="11"/>
  <c r="R114" i="11" s="1"/>
  <c r="J114" i="11"/>
  <c r="W113" i="11"/>
  <c r="U113" i="11"/>
  <c r="S113" i="11"/>
  <c r="V113" i="11"/>
  <c r="J113" i="11"/>
  <c r="W112" i="11"/>
  <c r="U112" i="11"/>
  <c r="S112" i="11"/>
  <c r="V112" i="11"/>
  <c r="J112" i="11"/>
  <c r="W111" i="11"/>
  <c r="U111" i="11"/>
  <c r="S111" i="11"/>
  <c r="V111" i="11"/>
  <c r="J111" i="11"/>
  <c r="U110" i="11"/>
  <c r="S110" i="11"/>
  <c r="J110" i="11"/>
  <c r="T95" i="11"/>
  <c r="T94" i="11"/>
  <c r="T93" i="11"/>
  <c r="G26" i="18"/>
  <c r="W104" i="11"/>
  <c r="V104" i="11"/>
  <c r="U104" i="11"/>
  <c r="T104" i="11"/>
  <c r="S104" i="11"/>
  <c r="Q104" i="11"/>
  <c r="R104" i="11" s="1"/>
  <c r="J104" i="11"/>
  <c r="W102" i="11"/>
  <c r="V102" i="11"/>
  <c r="U102" i="11"/>
  <c r="T102" i="11"/>
  <c r="S102" i="11"/>
  <c r="Q102" i="11"/>
  <c r="J102" i="11"/>
  <c r="W101" i="11"/>
  <c r="V101" i="11"/>
  <c r="U101" i="11"/>
  <c r="T101" i="11"/>
  <c r="S101" i="11"/>
  <c r="Q101" i="11"/>
  <c r="R101" i="11" s="1"/>
  <c r="J101" i="11"/>
  <c r="W100" i="11"/>
  <c r="V100" i="11"/>
  <c r="U100" i="11"/>
  <c r="T100" i="11"/>
  <c r="S100" i="11"/>
  <c r="Q100" i="11"/>
  <c r="R100" i="11" s="1"/>
  <c r="J100" i="11"/>
  <c r="W99" i="11"/>
  <c r="V99" i="11"/>
  <c r="U99" i="11"/>
  <c r="T99" i="11"/>
  <c r="S99" i="11"/>
  <c r="Q99" i="11"/>
  <c r="R99" i="11" s="1"/>
  <c r="J99" i="11"/>
  <c r="W98" i="11"/>
  <c r="V98" i="11"/>
  <c r="U98" i="11"/>
  <c r="T98" i="11"/>
  <c r="S98" i="11"/>
  <c r="Q98" i="11"/>
  <c r="J98" i="11"/>
  <c r="W97" i="11"/>
  <c r="V97" i="11"/>
  <c r="U97" i="11"/>
  <c r="T97" i="11"/>
  <c r="S97" i="11"/>
  <c r="Q97" i="11"/>
  <c r="R97" i="11" s="1"/>
  <c r="J97" i="11"/>
  <c r="W96" i="11"/>
  <c r="V96" i="11"/>
  <c r="U96" i="11"/>
  <c r="T96" i="11"/>
  <c r="S96" i="11"/>
  <c r="Q96" i="11"/>
  <c r="R96" i="11" s="1"/>
  <c r="J96" i="11"/>
  <c r="W95" i="11"/>
  <c r="U95" i="11"/>
  <c r="S95" i="11"/>
  <c r="V95" i="11"/>
  <c r="J95" i="11"/>
  <c r="W94" i="11"/>
  <c r="U94" i="11"/>
  <c r="S94" i="11"/>
  <c r="V94" i="11"/>
  <c r="J94" i="11"/>
  <c r="W93" i="11"/>
  <c r="U93" i="11"/>
  <c r="S93" i="11"/>
  <c r="V93" i="11"/>
  <c r="J93" i="11"/>
  <c r="U92" i="11"/>
  <c r="S92" i="11"/>
  <c r="T92" i="11"/>
  <c r="J92" i="11"/>
  <c r="V77" i="11"/>
  <c r="V76" i="11"/>
  <c r="V75" i="11"/>
  <c r="G22" i="18"/>
  <c r="W86" i="11"/>
  <c r="V86" i="11"/>
  <c r="U86" i="11"/>
  <c r="T86" i="11"/>
  <c r="S86" i="11"/>
  <c r="Q86" i="11"/>
  <c r="R86" i="11" s="1"/>
  <c r="J86" i="11"/>
  <c r="J87" i="11" s="1"/>
  <c r="W84" i="11"/>
  <c r="V84" i="11"/>
  <c r="U84" i="11"/>
  <c r="T84" i="11"/>
  <c r="S84" i="11"/>
  <c r="Q84" i="11"/>
  <c r="R84" i="11" s="1"/>
  <c r="J84" i="11"/>
  <c r="W83" i="11"/>
  <c r="V83" i="11"/>
  <c r="U83" i="11"/>
  <c r="T83" i="11"/>
  <c r="S83" i="11"/>
  <c r="Q83" i="11"/>
  <c r="R83" i="11" s="1"/>
  <c r="J83" i="11"/>
  <c r="W82" i="11"/>
  <c r="V82" i="11"/>
  <c r="U82" i="11"/>
  <c r="T82" i="11"/>
  <c r="S82" i="11"/>
  <c r="Q82" i="11"/>
  <c r="R82" i="11" s="1"/>
  <c r="J82" i="11"/>
  <c r="W81" i="11"/>
  <c r="V81" i="11"/>
  <c r="U81" i="11"/>
  <c r="T81" i="11"/>
  <c r="S81" i="11"/>
  <c r="Q81" i="11"/>
  <c r="R81" i="11" s="1"/>
  <c r="J81" i="11"/>
  <c r="W80" i="11"/>
  <c r="V80" i="11"/>
  <c r="U80" i="11"/>
  <c r="T80" i="11"/>
  <c r="S80" i="11"/>
  <c r="Q80" i="11"/>
  <c r="R80" i="11" s="1"/>
  <c r="J80" i="11"/>
  <c r="W79" i="11"/>
  <c r="V79" i="11"/>
  <c r="U79" i="11"/>
  <c r="T79" i="11"/>
  <c r="S79" i="11"/>
  <c r="Q79" i="11"/>
  <c r="J79" i="11"/>
  <c r="W78" i="11"/>
  <c r="V78" i="11"/>
  <c r="U78" i="11"/>
  <c r="T78" i="11"/>
  <c r="S78" i="11"/>
  <c r="Q78" i="11"/>
  <c r="J78" i="11"/>
  <c r="W77" i="11"/>
  <c r="U77" i="11"/>
  <c r="S77" i="11"/>
  <c r="T77" i="11"/>
  <c r="J77" i="11"/>
  <c r="W76" i="11"/>
  <c r="U76" i="11"/>
  <c r="S76" i="11"/>
  <c r="T76" i="11"/>
  <c r="J76" i="11"/>
  <c r="W75" i="11"/>
  <c r="U75" i="11"/>
  <c r="S75" i="11"/>
  <c r="T75" i="11"/>
  <c r="J75" i="11"/>
  <c r="U74" i="11"/>
  <c r="S74" i="11"/>
  <c r="T74" i="11"/>
  <c r="J74" i="11"/>
  <c r="Q57" i="11"/>
  <c r="G18" i="18"/>
  <c r="W68" i="11"/>
  <c r="V68" i="11"/>
  <c r="U68" i="11"/>
  <c r="T68" i="11"/>
  <c r="S68" i="11"/>
  <c r="Q68" i="11"/>
  <c r="R68" i="11" s="1"/>
  <c r="J68" i="11"/>
  <c r="W66" i="11"/>
  <c r="V66" i="11"/>
  <c r="U66" i="11"/>
  <c r="T66" i="11"/>
  <c r="S66" i="11"/>
  <c r="Q66" i="11"/>
  <c r="R66" i="11" s="1"/>
  <c r="J66" i="11"/>
  <c r="W65" i="11"/>
  <c r="V65" i="11"/>
  <c r="U65" i="11"/>
  <c r="T65" i="11"/>
  <c r="S65" i="11"/>
  <c r="Q65" i="11"/>
  <c r="R65" i="11" s="1"/>
  <c r="J65" i="11"/>
  <c r="W64" i="11"/>
  <c r="V64" i="11"/>
  <c r="U64" i="11"/>
  <c r="T64" i="11"/>
  <c r="S64" i="11"/>
  <c r="Q64" i="11"/>
  <c r="R64" i="11" s="1"/>
  <c r="J64" i="11"/>
  <c r="W63" i="11"/>
  <c r="V63" i="11"/>
  <c r="U63" i="11"/>
  <c r="T63" i="11"/>
  <c r="S63" i="11"/>
  <c r="Q63" i="11"/>
  <c r="R63" i="11" s="1"/>
  <c r="J63" i="11"/>
  <c r="W62" i="11"/>
  <c r="V62" i="11"/>
  <c r="U62" i="11"/>
  <c r="T62" i="11"/>
  <c r="S62" i="11"/>
  <c r="Q62" i="11"/>
  <c r="R62" i="11" s="1"/>
  <c r="J62" i="11"/>
  <c r="W61" i="11"/>
  <c r="V61" i="11"/>
  <c r="U61" i="11"/>
  <c r="T61" i="11"/>
  <c r="S61" i="11"/>
  <c r="Q61" i="11"/>
  <c r="R61" i="11" s="1"/>
  <c r="J61" i="11"/>
  <c r="W60" i="11"/>
  <c r="V60" i="11"/>
  <c r="U60" i="11"/>
  <c r="T60" i="11"/>
  <c r="S60" i="11"/>
  <c r="Q60" i="11"/>
  <c r="R60" i="11" s="1"/>
  <c r="J60" i="11"/>
  <c r="W59" i="11"/>
  <c r="U59" i="11"/>
  <c r="S59" i="11"/>
  <c r="V59" i="11"/>
  <c r="T59" i="11"/>
  <c r="J59" i="11"/>
  <c r="W58" i="11"/>
  <c r="U58" i="11"/>
  <c r="S58" i="11"/>
  <c r="V58" i="11"/>
  <c r="T58" i="11"/>
  <c r="J58" i="11"/>
  <c r="W57" i="11"/>
  <c r="U57" i="11"/>
  <c r="T57" i="11"/>
  <c r="S57" i="11"/>
  <c r="V57" i="11"/>
  <c r="J57" i="11"/>
  <c r="V56" i="11"/>
  <c r="T56" i="11"/>
  <c r="S56" i="11"/>
  <c r="W56" i="11"/>
  <c r="U56" i="11"/>
  <c r="J56" i="11"/>
  <c r="G20" i="18"/>
  <c r="W50" i="11"/>
  <c r="V50" i="11"/>
  <c r="U50" i="11"/>
  <c r="T50" i="11"/>
  <c r="S50" i="11"/>
  <c r="Q50" i="11"/>
  <c r="R50" i="11" s="1"/>
  <c r="J50" i="11"/>
  <c r="W48" i="11"/>
  <c r="V48" i="11"/>
  <c r="U48" i="11"/>
  <c r="T48" i="11"/>
  <c r="S48" i="11"/>
  <c r="Q48" i="11"/>
  <c r="R48" i="11" s="1"/>
  <c r="J48" i="11"/>
  <c r="W47" i="11"/>
  <c r="V47" i="11"/>
  <c r="U47" i="11"/>
  <c r="T47" i="11"/>
  <c r="S47" i="11"/>
  <c r="Q47" i="11"/>
  <c r="R47" i="11" s="1"/>
  <c r="J47" i="11"/>
  <c r="W46" i="11"/>
  <c r="V46" i="11"/>
  <c r="U46" i="11"/>
  <c r="T46" i="11"/>
  <c r="S46" i="11"/>
  <c r="Q46" i="11"/>
  <c r="R46" i="11" s="1"/>
  <c r="J46" i="11"/>
  <c r="W45" i="11"/>
  <c r="V45" i="11"/>
  <c r="U45" i="11"/>
  <c r="T45" i="11"/>
  <c r="S45" i="11"/>
  <c r="Q45" i="11"/>
  <c r="R45" i="11" s="1"/>
  <c r="J45" i="11"/>
  <c r="W44" i="11"/>
  <c r="V44" i="11"/>
  <c r="U44" i="11"/>
  <c r="T44" i="11"/>
  <c r="S44" i="11"/>
  <c r="Q44" i="11"/>
  <c r="R44" i="11" s="1"/>
  <c r="J44" i="11"/>
  <c r="W43" i="11"/>
  <c r="V43" i="11"/>
  <c r="U43" i="11"/>
  <c r="T43" i="11"/>
  <c r="S43" i="11"/>
  <c r="Q43" i="11"/>
  <c r="R43" i="11" s="1"/>
  <c r="J43" i="11"/>
  <c r="W42" i="11"/>
  <c r="U42" i="11"/>
  <c r="S42" i="11"/>
  <c r="V42" i="11"/>
  <c r="T42" i="11"/>
  <c r="J42" i="11"/>
  <c r="W41" i="11"/>
  <c r="U41" i="11"/>
  <c r="S41" i="11"/>
  <c r="V41" i="11"/>
  <c r="T41" i="11"/>
  <c r="J41" i="11"/>
  <c r="W40" i="11"/>
  <c r="U40" i="11"/>
  <c r="S40" i="11"/>
  <c r="V40" i="11"/>
  <c r="T40" i="11"/>
  <c r="J40" i="11"/>
  <c r="W39" i="11"/>
  <c r="U39" i="11"/>
  <c r="S39" i="11"/>
  <c r="V39" i="11"/>
  <c r="T39" i="11"/>
  <c r="J39" i="11"/>
  <c r="S38" i="11"/>
  <c r="T38" i="11"/>
  <c r="J38" i="11"/>
  <c r="T21" i="11"/>
  <c r="T23" i="11"/>
  <c r="T25" i="11"/>
  <c r="T27" i="11"/>
  <c r="W32" i="11"/>
  <c r="V32" i="11"/>
  <c r="U32" i="11"/>
  <c r="T32" i="11"/>
  <c r="S32" i="11"/>
  <c r="Q32" i="11"/>
  <c r="J32" i="11"/>
  <c r="W31" i="11"/>
  <c r="V31" i="11"/>
  <c r="U31" i="11"/>
  <c r="T31" i="11"/>
  <c r="S31" i="11"/>
  <c r="Q31" i="11"/>
  <c r="R31" i="11" s="1"/>
  <c r="J31" i="11"/>
  <c r="W30" i="11"/>
  <c r="V30" i="11"/>
  <c r="U30" i="11"/>
  <c r="T30" i="11"/>
  <c r="S30" i="11"/>
  <c r="Q30" i="11"/>
  <c r="R30" i="11" s="1"/>
  <c r="J30" i="11"/>
  <c r="W29" i="11"/>
  <c r="V29" i="11"/>
  <c r="U29" i="11"/>
  <c r="T29" i="11"/>
  <c r="S29" i="11"/>
  <c r="Q29" i="11"/>
  <c r="R29" i="11" s="1"/>
  <c r="J29" i="11"/>
  <c r="W28" i="11"/>
  <c r="V28" i="11"/>
  <c r="U28" i="11"/>
  <c r="T28" i="11"/>
  <c r="S28" i="11"/>
  <c r="Q28" i="11"/>
  <c r="R28" i="11" s="1"/>
  <c r="J28" i="11"/>
  <c r="W27" i="11"/>
  <c r="V27" i="11"/>
  <c r="U27" i="11"/>
  <c r="S27" i="11"/>
  <c r="J27" i="11"/>
  <c r="W26" i="11"/>
  <c r="V26" i="11"/>
  <c r="U26" i="11"/>
  <c r="S26" i="11"/>
  <c r="T26" i="11"/>
  <c r="J26" i="11"/>
  <c r="W25" i="11"/>
  <c r="V25" i="11"/>
  <c r="U25" i="11"/>
  <c r="S25" i="11"/>
  <c r="J25" i="11"/>
  <c r="W24" i="11"/>
  <c r="V24" i="11"/>
  <c r="U24" i="11"/>
  <c r="S24" i="11"/>
  <c r="T24" i="11"/>
  <c r="J24" i="11"/>
  <c r="W23" i="11"/>
  <c r="V23" i="11"/>
  <c r="U23" i="11"/>
  <c r="S23" i="11"/>
  <c r="J23" i="11"/>
  <c r="W22" i="11"/>
  <c r="V22" i="11"/>
  <c r="U22" i="11"/>
  <c r="S22" i="11"/>
  <c r="Q22" i="11"/>
  <c r="R22" i="11" s="1"/>
  <c r="T22" i="11"/>
  <c r="J22" i="11"/>
  <c r="W21" i="11"/>
  <c r="V21" i="11"/>
  <c r="U21" i="11"/>
  <c r="S21" i="11"/>
  <c r="J21" i="11"/>
  <c r="Q4" i="11"/>
  <c r="Q8" i="11"/>
  <c r="G147" i="11"/>
  <c r="W15" i="11"/>
  <c r="V15" i="11"/>
  <c r="U15" i="11"/>
  <c r="T15" i="11"/>
  <c r="S15" i="11"/>
  <c r="Q15" i="11"/>
  <c r="J15" i="11"/>
  <c r="W14" i="11"/>
  <c r="V14" i="11"/>
  <c r="U14" i="11"/>
  <c r="T14" i="11"/>
  <c r="S14" i="11"/>
  <c r="Q14" i="11"/>
  <c r="J14" i="11"/>
  <c r="W13" i="11"/>
  <c r="V13" i="11"/>
  <c r="U13" i="11"/>
  <c r="T13" i="11"/>
  <c r="S13" i="11"/>
  <c r="Q13" i="11"/>
  <c r="J13" i="11"/>
  <c r="W12" i="11"/>
  <c r="V12" i="11"/>
  <c r="U12" i="11"/>
  <c r="T12" i="11"/>
  <c r="S12" i="11"/>
  <c r="Q12" i="11"/>
  <c r="J12" i="11"/>
  <c r="W11" i="11"/>
  <c r="V11" i="11"/>
  <c r="U11" i="11"/>
  <c r="T11" i="11"/>
  <c r="S11" i="11"/>
  <c r="Q11" i="11"/>
  <c r="J11" i="11"/>
  <c r="W10" i="11"/>
  <c r="V10" i="11"/>
  <c r="U10" i="11"/>
  <c r="S10" i="11"/>
  <c r="T10" i="11"/>
  <c r="J10" i="11"/>
  <c r="W9" i="11"/>
  <c r="V9" i="11"/>
  <c r="U9" i="11"/>
  <c r="S9" i="11"/>
  <c r="T9" i="11"/>
  <c r="J9" i="11"/>
  <c r="W8" i="11"/>
  <c r="V8" i="11"/>
  <c r="U8" i="11"/>
  <c r="S8" i="11"/>
  <c r="T8" i="11"/>
  <c r="J8" i="11"/>
  <c r="W7" i="11"/>
  <c r="V7" i="11"/>
  <c r="U7" i="11"/>
  <c r="S7" i="11"/>
  <c r="Q7" i="11"/>
  <c r="J7" i="11"/>
  <c r="W6" i="11"/>
  <c r="V6" i="11"/>
  <c r="U6" i="11"/>
  <c r="S6" i="11"/>
  <c r="Q6" i="11"/>
  <c r="T6" i="11"/>
  <c r="J6" i="11"/>
  <c r="W5" i="11"/>
  <c r="V5" i="11"/>
  <c r="U5" i="11"/>
  <c r="S5" i="11"/>
  <c r="Q5" i="11"/>
  <c r="J5" i="11"/>
  <c r="W4" i="11"/>
  <c r="V4" i="11"/>
  <c r="U4" i="11"/>
  <c r="S4" i="11"/>
  <c r="T4" i="11"/>
  <c r="J4" i="11"/>
  <c r="E203" i="2"/>
  <c r="E4" i="13" s="1"/>
  <c r="S205" i="2"/>
  <c r="T205" i="2"/>
  <c r="U205" i="2"/>
  <c r="W205" i="2"/>
  <c r="W196" i="2"/>
  <c r="V196" i="2"/>
  <c r="U196" i="2"/>
  <c r="T196" i="2"/>
  <c r="S196" i="2"/>
  <c r="R196" i="2"/>
  <c r="W191" i="2"/>
  <c r="V191" i="2"/>
  <c r="U191" i="2"/>
  <c r="T191" i="2"/>
  <c r="S191" i="2"/>
  <c r="W190" i="2"/>
  <c r="V190" i="2"/>
  <c r="U190" i="2"/>
  <c r="T190" i="2"/>
  <c r="S190" i="2"/>
  <c r="H16" i="18"/>
  <c r="W188" i="2"/>
  <c r="V188" i="2"/>
  <c r="U188" i="2"/>
  <c r="T188" i="2"/>
  <c r="S188" i="2"/>
  <c r="R188" i="2"/>
  <c r="J188" i="2"/>
  <c r="W187" i="2"/>
  <c r="V187" i="2"/>
  <c r="U187" i="2"/>
  <c r="T187" i="2"/>
  <c r="S187" i="2"/>
  <c r="R187" i="2"/>
  <c r="J187" i="2"/>
  <c r="W186" i="2"/>
  <c r="U186" i="2"/>
  <c r="S186" i="2"/>
  <c r="V186" i="2"/>
  <c r="T186" i="2"/>
  <c r="J186" i="2"/>
  <c r="W185" i="2"/>
  <c r="U185" i="2"/>
  <c r="S185" i="2"/>
  <c r="V185" i="2"/>
  <c r="T185" i="2"/>
  <c r="J185" i="2"/>
  <c r="W184" i="2"/>
  <c r="U184" i="2"/>
  <c r="S184" i="2"/>
  <c r="V184" i="2"/>
  <c r="T184" i="2"/>
  <c r="J184" i="2"/>
  <c r="W183" i="2"/>
  <c r="V183" i="2"/>
  <c r="U183" i="2"/>
  <c r="T183" i="2"/>
  <c r="S183" i="2"/>
  <c r="V170" i="2"/>
  <c r="G15" i="18"/>
  <c r="G17" i="18" s="1"/>
  <c r="W177" i="2"/>
  <c r="V177" i="2"/>
  <c r="U177" i="2"/>
  <c r="T177" i="2"/>
  <c r="S177" i="2"/>
  <c r="Q177" i="2"/>
  <c r="R177" i="2" s="1"/>
  <c r="J177" i="2"/>
  <c r="W176" i="2"/>
  <c r="V176" i="2"/>
  <c r="U176" i="2"/>
  <c r="T176" i="2"/>
  <c r="S176" i="2"/>
  <c r="Q176" i="2"/>
  <c r="R176" i="2" s="1"/>
  <c r="J176" i="2"/>
  <c r="W174" i="2"/>
  <c r="V174" i="2"/>
  <c r="U174" i="2"/>
  <c r="T174" i="2"/>
  <c r="S174" i="2"/>
  <c r="Q174" i="2"/>
  <c r="R174" i="2" s="1"/>
  <c r="J174" i="2"/>
  <c r="W173" i="2"/>
  <c r="V173" i="2"/>
  <c r="U173" i="2"/>
  <c r="T173" i="2"/>
  <c r="S173" i="2"/>
  <c r="Q173" i="2"/>
  <c r="R173" i="2" s="1"/>
  <c r="J173" i="2"/>
  <c r="W172" i="2"/>
  <c r="V172" i="2"/>
  <c r="U172" i="2"/>
  <c r="T172" i="2"/>
  <c r="S172" i="2"/>
  <c r="Q172" i="2"/>
  <c r="J172" i="2"/>
  <c r="W171" i="2"/>
  <c r="V171" i="2"/>
  <c r="U171" i="2"/>
  <c r="T171" i="2"/>
  <c r="S171" i="2"/>
  <c r="Q171" i="2"/>
  <c r="J171" i="2"/>
  <c r="W170" i="2"/>
  <c r="U170" i="2"/>
  <c r="T170" i="2"/>
  <c r="S170" i="2"/>
  <c r="J170" i="2"/>
  <c r="W169" i="2"/>
  <c r="U169" i="2"/>
  <c r="S169" i="2"/>
  <c r="V169" i="2"/>
  <c r="T169" i="2"/>
  <c r="J169" i="2"/>
  <c r="W168" i="2"/>
  <c r="U168" i="2"/>
  <c r="S168" i="2"/>
  <c r="V168" i="2"/>
  <c r="T168" i="2"/>
  <c r="J168" i="2"/>
  <c r="W167" i="2"/>
  <c r="U167" i="2"/>
  <c r="S167" i="2"/>
  <c r="V167" i="2"/>
  <c r="T167" i="2"/>
  <c r="J167" i="2"/>
  <c r="W166" i="2"/>
  <c r="U166" i="2"/>
  <c r="S166" i="2"/>
  <c r="V166" i="2"/>
  <c r="T166" i="2"/>
  <c r="J166" i="2"/>
  <c r="U165" i="2"/>
  <c r="S165" i="2"/>
  <c r="V178" i="2"/>
  <c r="J165" i="2"/>
  <c r="V151" i="2"/>
  <c r="T151" i="2"/>
  <c r="V149" i="2"/>
  <c r="T149" i="2"/>
  <c r="G12" i="18"/>
  <c r="W159" i="2"/>
  <c r="V159" i="2"/>
  <c r="U159" i="2"/>
  <c r="T159" i="2"/>
  <c r="S159" i="2"/>
  <c r="Q159" i="2"/>
  <c r="R159" i="2" s="1"/>
  <c r="J159" i="2"/>
  <c r="W155" i="2"/>
  <c r="V155" i="2"/>
  <c r="U155" i="2"/>
  <c r="T155" i="2"/>
  <c r="S155" i="2"/>
  <c r="Q155" i="2"/>
  <c r="R155" i="2" s="1"/>
  <c r="J155" i="2"/>
  <c r="W154" i="2"/>
  <c r="V154" i="2"/>
  <c r="U154" i="2"/>
  <c r="T154" i="2"/>
  <c r="S154" i="2"/>
  <c r="Q154" i="2"/>
  <c r="R154" i="2" s="1"/>
  <c r="J154" i="2"/>
  <c r="W153" i="2"/>
  <c r="V153" i="2"/>
  <c r="U153" i="2"/>
  <c r="T153" i="2"/>
  <c r="S153" i="2"/>
  <c r="Q153" i="2"/>
  <c r="R153" i="2" s="1"/>
  <c r="J153" i="2"/>
  <c r="W152" i="2"/>
  <c r="V152" i="2"/>
  <c r="U152" i="2"/>
  <c r="T152" i="2"/>
  <c r="S152" i="2"/>
  <c r="Q152" i="2"/>
  <c r="J152" i="2"/>
  <c r="W151" i="2"/>
  <c r="U151" i="2"/>
  <c r="S151" i="2"/>
  <c r="J151" i="2"/>
  <c r="W150" i="2"/>
  <c r="V150" i="2"/>
  <c r="U150" i="2"/>
  <c r="T150" i="2"/>
  <c r="S150" i="2"/>
  <c r="Q150" i="2"/>
  <c r="J150" i="2"/>
  <c r="W149" i="2"/>
  <c r="U149" i="2"/>
  <c r="S149" i="2"/>
  <c r="J149" i="2"/>
  <c r="W148" i="2"/>
  <c r="V148" i="2"/>
  <c r="U148" i="2"/>
  <c r="T148" i="2"/>
  <c r="S148" i="2"/>
  <c r="Q148" i="2"/>
  <c r="J148" i="2"/>
  <c r="W147" i="2"/>
  <c r="U147" i="2"/>
  <c r="S147" i="2"/>
  <c r="J147" i="2"/>
  <c r="G9" i="18"/>
  <c r="W141" i="2"/>
  <c r="V141" i="2"/>
  <c r="U141" i="2"/>
  <c r="T141" i="2"/>
  <c r="S141" i="2"/>
  <c r="Q141" i="2"/>
  <c r="R141" i="2" s="1"/>
  <c r="J141" i="2"/>
  <c r="W139" i="2"/>
  <c r="V139" i="2"/>
  <c r="U139" i="2"/>
  <c r="T139" i="2"/>
  <c r="S139" i="2"/>
  <c r="Q139" i="2"/>
  <c r="R139" i="2" s="1"/>
  <c r="W137" i="2"/>
  <c r="V137" i="2"/>
  <c r="U137" i="2"/>
  <c r="T137" i="2"/>
  <c r="S137" i="2"/>
  <c r="Q137" i="2"/>
  <c r="R137" i="2" s="1"/>
  <c r="J137" i="2"/>
  <c r="W136" i="2"/>
  <c r="V136" i="2"/>
  <c r="U136" i="2"/>
  <c r="T136" i="2"/>
  <c r="S136" i="2"/>
  <c r="Q136" i="2"/>
  <c r="R136" i="2" s="1"/>
  <c r="J136" i="2"/>
  <c r="W135" i="2"/>
  <c r="V135" i="2"/>
  <c r="U135" i="2"/>
  <c r="T135" i="2"/>
  <c r="S135" i="2"/>
  <c r="Q135" i="2"/>
  <c r="R135" i="2" s="1"/>
  <c r="J135" i="2"/>
  <c r="W134" i="2"/>
  <c r="U134" i="2"/>
  <c r="S134" i="2"/>
  <c r="V134" i="2"/>
  <c r="T134" i="2"/>
  <c r="J134" i="2"/>
  <c r="W133" i="2"/>
  <c r="U133" i="2"/>
  <c r="S133" i="2"/>
  <c r="V133" i="2"/>
  <c r="T133" i="2"/>
  <c r="J133" i="2"/>
  <c r="W132" i="2"/>
  <c r="U132" i="2"/>
  <c r="S132" i="2"/>
  <c r="V132" i="2"/>
  <c r="T132" i="2"/>
  <c r="J132" i="2"/>
  <c r="W131" i="2"/>
  <c r="U131" i="2"/>
  <c r="S131" i="2"/>
  <c r="V131" i="2"/>
  <c r="T131" i="2"/>
  <c r="J131" i="2"/>
  <c r="W130" i="2"/>
  <c r="U130" i="2"/>
  <c r="S130" i="2"/>
  <c r="V130" i="2"/>
  <c r="T130" i="2"/>
  <c r="J130" i="2"/>
  <c r="W129" i="2"/>
  <c r="U129" i="2"/>
  <c r="S129" i="2"/>
  <c r="T129" i="2"/>
  <c r="J129" i="2"/>
  <c r="V115" i="2"/>
  <c r="V114" i="2"/>
  <c r="V113" i="2"/>
  <c r="V112" i="2"/>
  <c r="W123" i="2"/>
  <c r="V123" i="2"/>
  <c r="U123" i="2"/>
  <c r="T123" i="2"/>
  <c r="S123" i="2"/>
  <c r="Q123" i="2"/>
  <c r="Q124" i="2" s="1"/>
  <c r="J123" i="2"/>
  <c r="W119" i="2"/>
  <c r="V119" i="2"/>
  <c r="U119" i="2"/>
  <c r="T119" i="2"/>
  <c r="S119" i="2"/>
  <c r="R119" i="2"/>
  <c r="J119" i="2"/>
  <c r="W118" i="2"/>
  <c r="V118" i="2"/>
  <c r="U118" i="2"/>
  <c r="T118" i="2"/>
  <c r="S118" i="2"/>
  <c r="R118" i="2"/>
  <c r="J118" i="2"/>
  <c r="W117" i="2"/>
  <c r="V117" i="2"/>
  <c r="U117" i="2"/>
  <c r="T117" i="2"/>
  <c r="S117" i="2"/>
  <c r="R117" i="2"/>
  <c r="J117" i="2"/>
  <c r="W116" i="2"/>
  <c r="U116" i="2"/>
  <c r="S116" i="2"/>
  <c r="V116" i="2"/>
  <c r="T116" i="2"/>
  <c r="J116" i="2"/>
  <c r="W115" i="2"/>
  <c r="U115" i="2"/>
  <c r="S115" i="2"/>
  <c r="T115" i="2"/>
  <c r="J115" i="2"/>
  <c r="W114" i="2"/>
  <c r="U114" i="2"/>
  <c r="S114" i="2"/>
  <c r="T114" i="2"/>
  <c r="J114" i="2"/>
  <c r="W113" i="2"/>
  <c r="U113" i="2"/>
  <c r="S113" i="2"/>
  <c r="T113" i="2"/>
  <c r="J113" i="2"/>
  <c r="W112" i="2"/>
  <c r="U112" i="2"/>
  <c r="S112" i="2"/>
  <c r="T112" i="2"/>
  <c r="J112" i="2"/>
  <c r="W111" i="2"/>
  <c r="U111" i="2"/>
  <c r="S111" i="2"/>
  <c r="T111" i="2"/>
  <c r="J111" i="2"/>
  <c r="V98" i="2"/>
  <c r="V97" i="2"/>
  <c r="V96" i="2"/>
  <c r="V95" i="2"/>
  <c r="G10" i="18"/>
  <c r="W105" i="2"/>
  <c r="V105" i="2"/>
  <c r="U105" i="2"/>
  <c r="T105" i="2"/>
  <c r="S105" i="2"/>
  <c r="Q105" i="2"/>
  <c r="R105" i="2" s="1"/>
  <c r="J105" i="2"/>
  <c r="W103" i="2"/>
  <c r="V103" i="2"/>
  <c r="U103" i="2"/>
  <c r="T103" i="2"/>
  <c r="S103" i="2"/>
  <c r="Q103" i="2"/>
  <c r="R103" i="2" s="1"/>
  <c r="J103" i="2"/>
  <c r="W102" i="2"/>
  <c r="V102" i="2"/>
  <c r="U102" i="2"/>
  <c r="T102" i="2"/>
  <c r="S102" i="2"/>
  <c r="Q102" i="2"/>
  <c r="R102" i="2" s="1"/>
  <c r="J102" i="2"/>
  <c r="W101" i="2"/>
  <c r="V101" i="2"/>
  <c r="U101" i="2"/>
  <c r="T101" i="2"/>
  <c r="S101" i="2"/>
  <c r="Q101" i="2"/>
  <c r="R101" i="2" s="1"/>
  <c r="J101" i="2"/>
  <c r="W100" i="2"/>
  <c r="V100" i="2"/>
  <c r="U100" i="2"/>
  <c r="T100" i="2"/>
  <c r="S100" i="2"/>
  <c r="Q100" i="2"/>
  <c r="R100" i="2" s="1"/>
  <c r="J100" i="2"/>
  <c r="W99" i="2"/>
  <c r="U99" i="2"/>
  <c r="S99" i="2"/>
  <c r="T99" i="2"/>
  <c r="J99" i="2"/>
  <c r="W98" i="2"/>
  <c r="U98" i="2"/>
  <c r="S98" i="2"/>
  <c r="T98" i="2"/>
  <c r="J98" i="2"/>
  <c r="W97" i="2"/>
  <c r="U97" i="2"/>
  <c r="S97" i="2"/>
  <c r="T97" i="2"/>
  <c r="J97" i="2"/>
  <c r="W96" i="2"/>
  <c r="U96" i="2"/>
  <c r="S96" i="2"/>
  <c r="T96" i="2"/>
  <c r="W95" i="2"/>
  <c r="U95" i="2"/>
  <c r="S95" i="2"/>
  <c r="T95" i="2"/>
  <c r="W94" i="2"/>
  <c r="U94" i="2"/>
  <c r="S94" i="2"/>
  <c r="T94" i="2"/>
  <c r="J94" i="2"/>
  <c r="V93" i="2"/>
  <c r="U93" i="2"/>
  <c r="S93" i="2"/>
  <c r="T93" i="2"/>
  <c r="J93" i="2"/>
  <c r="V81" i="2"/>
  <c r="V79" i="2"/>
  <c r="V78" i="2"/>
  <c r="V77" i="2"/>
  <c r="V76" i="2"/>
  <c r="G11" i="18"/>
  <c r="W87" i="2"/>
  <c r="V87" i="2"/>
  <c r="U87" i="2"/>
  <c r="T87" i="2"/>
  <c r="S87" i="2"/>
  <c r="Q87" i="2"/>
  <c r="R87" i="2" s="1"/>
  <c r="J87" i="2"/>
  <c r="W86" i="2"/>
  <c r="V86" i="2"/>
  <c r="U86" i="2"/>
  <c r="T86" i="2"/>
  <c r="S86" i="2"/>
  <c r="Q86" i="2"/>
  <c r="R86" i="2" s="1"/>
  <c r="J86" i="2"/>
  <c r="W84" i="2"/>
  <c r="V84" i="2"/>
  <c r="U84" i="2"/>
  <c r="T84" i="2"/>
  <c r="S84" i="2"/>
  <c r="Q84" i="2"/>
  <c r="R84" i="2" s="1"/>
  <c r="W83" i="2"/>
  <c r="V83" i="2"/>
  <c r="U83" i="2"/>
  <c r="T83" i="2"/>
  <c r="S83" i="2"/>
  <c r="Q83" i="2"/>
  <c r="R83" i="2" s="1"/>
  <c r="W82" i="2"/>
  <c r="V82" i="2"/>
  <c r="U82" i="2"/>
  <c r="T82" i="2"/>
  <c r="S82" i="2"/>
  <c r="Q82" i="2"/>
  <c r="R82" i="2" s="1"/>
  <c r="W81" i="2"/>
  <c r="U81" i="2"/>
  <c r="T81" i="2"/>
  <c r="S81" i="2"/>
  <c r="W80" i="2"/>
  <c r="V80" i="2"/>
  <c r="U80" i="2"/>
  <c r="T80" i="2"/>
  <c r="S80" i="2"/>
  <c r="Q80" i="2"/>
  <c r="W79" i="2"/>
  <c r="U79" i="2"/>
  <c r="S79" i="2"/>
  <c r="T79" i="2"/>
  <c r="W78" i="2"/>
  <c r="U78" i="2"/>
  <c r="S78" i="2"/>
  <c r="T78" i="2"/>
  <c r="W77" i="2"/>
  <c r="U77" i="2"/>
  <c r="S77" i="2"/>
  <c r="T77" i="2"/>
  <c r="W76" i="2"/>
  <c r="U76" i="2"/>
  <c r="S76" i="2"/>
  <c r="T76" i="2"/>
  <c r="G7" i="18"/>
  <c r="W69" i="2"/>
  <c r="V69" i="2"/>
  <c r="U69" i="2"/>
  <c r="T69" i="2"/>
  <c r="S69" i="2"/>
  <c r="Q69" i="2"/>
  <c r="R69" i="2" s="1"/>
  <c r="J69" i="2"/>
  <c r="W67" i="2"/>
  <c r="V67" i="2"/>
  <c r="U67" i="2"/>
  <c r="T67" i="2"/>
  <c r="S67" i="2"/>
  <c r="Q67" i="2"/>
  <c r="R67" i="2" s="1"/>
  <c r="J67" i="2"/>
  <c r="W66" i="2"/>
  <c r="V66" i="2"/>
  <c r="U66" i="2"/>
  <c r="T66" i="2"/>
  <c r="S66" i="2"/>
  <c r="Q66" i="2"/>
  <c r="R66" i="2" s="1"/>
  <c r="J66" i="2"/>
  <c r="W65" i="2"/>
  <c r="V65" i="2"/>
  <c r="U65" i="2"/>
  <c r="T65" i="2"/>
  <c r="S65" i="2"/>
  <c r="Q65" i="2"/>
  <c r="R65" i="2" s="1"/>
  <c r="J65" i="2"/>
  <c r="W64" i="2"/>
  <c r="V64" i="2"/>
  <c r="U64" i="2"/>
  <c r="T64" i="2"/>
  <c r="S64" i="2"/>
  <c r="Q64" i="2"/>
  <c r="R64" i="2" s="1"/>
  <c r="J64" i="2"/>
  <c r="W63" i="2"/>
  <c r="V63" i="2"/>
  <c r="U63" i="2"/>
  <c r="T63" i="2"/>
  <c r="S63" i="2"/>
  <c r="Q63" i="2"/>
  <c r="R63" i="2" s="1"/>
  <c r="J63" i="2"/>
  <c r="W62" i="2"/>
  <c r="V62" i="2"/>
  <c r="U62" i="2"/>
  <c r="T62" i="2"/>
  <c r="S62" i="2"/>
  <c r="Q62" i="2"/>
  <c r="J62" i="2"/>
  <c r="W61" i="2"/>
  <c r="U61" i="2"/>
  <c r="S61" i="2"/>
  <c r="V61" i="2"/>
  <c r="T61" i="2"/>
  <c r="J61" i="2"/>
  <c r="W60" i="2"/>
  <c r="U60" i="2"/>
  <c r="S60" i="2"/>
  <c r="V60" i="2"/>
  <c r="T60" i="2"/>
  <c r="J60" i="2"/>
  <c r="W59" i="2"/>
  <c r="U59" i="2"/>
  <c r="S59" i="2"/>
  <c r="V59" i="2"/>
  <c r="T59" i="2"/>
  <c r="J59" i="2"/>
  <c r="W58" i="2"/>
  <c r="U58" i="2"/>
  <c r="S58" i="2"/>
  <c r="V58" i="2"/>
  <c r="T58" i="2"/>
  <c r="J58" i="2"/>
  <c r="U57" i="2"/>
  <c r="S57" i="2"/>
  <c r="T57" i="2"/>
  <c r="J57" i="2"/>
  <c r="J70" i="2" l="1"/>
  <c r="J88" i="2"/>
  <c r="J106" i="2"/>
  <c r="J124" i="2"/>
  <c r="J178" i="2"/>
  <c r="R32" i="11"/>
  <c r="R14" i="11"/>
  <c r="R15" i="11"/>
  <c r="J149" i="11"/>
  <c r="R148" i="2"/>
  <c r="R123" i="2"/>
  <c r="R7" i="11"/>
  <c r="R13" i="11"/>
  <c r="R80" i="2"/>
  <c r="R152" i="2"/>
  <c r="R62" i="2"/>
  <c r="P204" i="2"/>
  <c r="J16" i="11"/>
  <c r="R150" i="2"/>
  <c r="J33" i="11"/>
  <c r="R8" i="11"/>
  <c r="R130" i="11"/>
  <c r="R102" i="11"/>
  <c r="E6" i="13"/>
  <c r="R140" i="11"/>
  <c r="R5" i="11"/>
  <c r="R6" i="11"/>
  <c r="W128" i="11"/>
  <c r="P150" i="11"/>
  <c r="G5" i="18"/>
  <c r="S204" i="2"/>
  <c r="R57" i="11"/>
  <c r="O150" i="11"/>
  <c r="N150" i="11"/>
  <c r="M150" i="11"/>
  <c r="K150" i="11"/>
  <c r="I150" i="11"/>
  <c r="H150" i="11"/>
  <c r="G21" i="18"/>
  <c r="G150" i="11"/>
  <c r="G28" i="18"/>
  <c r="N169" i="11"/>
  <c r="U169" i="11" s="1"/>
  <c r="U157" i="11"/>
  <c r="U38" i="11"/>
  <c r="T157" i="11"/>
  <c r="L169" i="11"/>
  <c r="T169" i="11" s="1"/>
  <c r="T69" i="11"/>
  <c r="V69" i="11"/>
  <c r="R11" i="11"/>
  <c r="R12" i="11"/>
  <c r="G23" i="18"/>
  <c r="R78" i="11"/>
  <c r="R79" i="11"/>
  <c r="V147" i="2"/>
  <c r="Q170" i="2"/>
  <c r="G14" i="18"/>
  <c r="T217" i="2"/>
  <c r="V213" i="2"/>
  <c r="W165" i="2"/>
  <c r="T165" i="2"/>
  <c r="T212" i="2"/>
  <c r="T214" i="2"/>
  <c r="T215" i="2"/>
  <c r="T216" i="2"/>
  <c r="M223" i="2"/>
  <c r="V99" i="2"/>
  <c r="V217" i="2"/>
  <c r="T213" i="2"/>
  <c r="V212" i="2"/>
  <c r="V214" i="2"/>
  <c r="V215" i="2"/>
  <c r="V216" i="2"/>
  <c r="I16" i="18"/>
  <c r="M16" i="18"/>
  <c r="V88" i="2"/>
  <c r="M25" i="18"/>
  <c r="E28" i="18"/>
  <c r="F28" i="18" s="1"/>
  <c r="F25" i="18"/>
  <c r="F5" i="18"/>
  <c r="E8" i="18"/>
  <c r="F8" i="18" s="1"/>
  <c r="F6" i="18"/>
  <c r="F20" i="18"/>
  <c r="F21" i="18"/>
  <c r="E24" i="18"/>
  <c r="F18" i="18"/>
  <c r="R98" i="11"/>
  <c r="R172" i="2"/>
  <c r="R191" i="2"/>
  <c r="R171" i="2"/>
  <c r="R190" i="2"/>
  <c r="E206" i="2"/>
  <c r="R183" i="2"/>
  <c r="M90" i="10"/>
  <c r="N90" i="10" s="1"/>
  <c r="N89" i="10"/>
  <c r="I7" i="12"/>
  <c r="Q90" i="10"/>
  <c r="H7" i="12"/>
  <c r="O90" i="10"/>
  <c r="G7" i="12"/>
  <c r="P90" i="10"/>
  <c r="W197" i="2"/>
  <c r="V51" i="11"/>
  <c r="V123" i="11"/>
  <c r="R149" i="11"/>
  <c r="W38" i="11"/>
  <c r="S69" i="11"/>
  <c r="Q129" i="11"/>
  <c r="Q133" i="11"/>
  <c r="T141" i="11"/>
  <c r="S141" i="11"/>
  <c r="U141" i="11"/>
  <c r="T128" i="11"/>
  <c r="V129" i="11"/>
  <c r="V130" i="11"/>
  <c r="Q128" i="11"/>
  <c r="W123" i="11"/>
  <c r="W110" i="11"/>
  <c r="S123" i="11"/>
  <c r="U123" i="11"/>
  <c r="Q110" i="11"/>
  <c r="Q111" i="11"/>
  <c r="Q112" i="11"/>
  <c r="Q113" i="11"/>
  <c r="R113" i="11" s="1"/>
  <c r="T123" i="11"/>
  <c r="V110" i="11"/>
  <c r="W105" i="11"/>
  <c r="V105" i="11"/>
  <c r="W92" i="11"/>
  <c r="S105" i="11"/>
  <c r="U105" i="11"/>
  <c r="Q92" i="11"/>
  <c r="Q93" i="11"/>
  <c r="Q94" i="11"/>
  <c r="Q95" i="11"/>
  <c r="T105" i="11"/>
  <c r="V92" i="11"/>
  <c r="W87" i="11"/>
  <c r="V87" i="11"/>
  <c r="W74" i="11"/>
  <c r="S87" i="11"/>
  <c r="U87" i="11"/>
  <c r="Q74" i="11"/>
  <c r="Q75" i="11"/>
  <c r="Q76" i="11"/>
  <c r="Q77" i="11"/>
  <c r="T87" i="11"/>
  <c r="V74" i="11"/>
  <c r="Q58" i="11"/>
  <c r="R58" i="11" s="1"/>
  <c r="Q59" i="11"/>
  <c r="R59" i="11" s="1"/>
  <c r="U69" i="11"/>
  <c r="W69" i="11"/>
  <c r="Q56" i="11"/>
  <c r="W51" i="11"/>
  <c r="S51" i="11"/>
  <c r="U51" i="11"/>
  <c r="Q38" i="11"/>
  <c r="Q39" i="11"/>
  <c r="Q40" i="11"/>
  <c r="Q41" i="11"/>
  <c r="R41" i="11" s="1"/>
  <c r="Q42" i="11"/>
  <c r="R42" i="11" s="1"/>
  <c r="T51" i="11"/>
  <c r="V38" i="11"/>
  <c r="V33" i="11"/>
  <c r="U33" i="11"/>
  <c r="W33" i="11"/>
  <c r="S33" i="11"/>
  <c r="Q23" i="11"/>
  <c r="R23" i="11" s="1"/>
  <c r="Q24" i="11"/>
  <c r="R24" i="11" s="1"/>
  <c r="Q25" i="11"/>
  <c r="Q26" i="11"/>
  <c r="R26" i="11" s="1"/>
  <c r="Q27" i="11"/>
  <c r="R27" i="11" s="1"/>
  <c r="Q21" i="11"/>
  <c r="V16" i="11"/>
  <c r="U16" i="11"/>
  <c r="W16" i="11"/>
  <c r="S16" i="11"/>
  <c r="T5" i="11"/>
  <c r="T7" i="11"/>
  <c r="Q9" i="11"/>
  <c r="Q10" i="11"/>
  <c r="R4" i="11"/>
  <c r="V205" i="2"/>
  <c r="V70" i="2"/>
  <c r="Q81" i="2"/>
  <c r="R81" i="2" s="1"/>
  <c r="Q147" i="2"/>
  <c r="T147" i="2"/>
  <c r="Q149" i="2"/>
  <c r="R149" i="2" s="1"/>
  <c r="Q151" i="2"/>
  <c r="R151" i="2" s="1"/>
  <c r="W57" i="2"/>
  <c r="V197" i="2"/>
  <c r="S197" i="2"/>
  <c r="U197" i="2"/>
  <c r="R184" i="2"/>
  <c r="R185" i="2"/>
  <c r="R186" i="2"/>
  <c r="T197" i="2"/>
  <c r="S178" i="2"/>
  <c r="U178" i="2"/>
  <c r="W178" i="2"/>
  <c r="Q165" i="2"/>
  <c r="Q166" i="2"/>
  <c r="Q167" i="2"/>
  <c r="Q168" i="2"/>
  <c r="Q169" i="2"/>
  <c r="T178" i="2"/>
  <c r="V165" i="2"/>
  <c r="V160" i="2"/>
  <c r="T160" i="2"/>
  <c r="U160" i="2"/>
  <c r="W160" i="2"/>
  <c r="S160" i="2"/>
  <c r="V142" i="2"/>
  <c r="S142" i="2"/>
  <c r="U142" i="2"/>
  <c r="Q129" i="2"/>
  <c r="Q130" i="2"/>
  <c r="Q131" i="2"/>
  <c r="R131" i="2" s="1"/>
  <c r="Q132" i="2"/>
  <c r="Q133" i="2"/>
  <c r="R133" i="2" s="1"/>
  <c r="Q134" i="2"/>
  <c r="T142" i="2"/>
  <c r="V129" i="2"/>
  <c r="U124" i="2"/>
  <c r="W124" i="2"/>
  <c r="S124" i="2"/>
  <c r="V124" i="2"/>
  <c r="R111" i="2"/>
  <c r="R112" i="2"/>
  <c r="R113" i="2"/>
  <c r="R114" i="2"/>
  <c r="R115" i="2"/>
  <c r="R116" i="2"/>
  <c r="T124" i="2"/>
  <c r="V111" i="2"/>
  <c r="W106" i="2"/>
  <c r="W93" i="2"/>
  <c r="S106" i="2"/>
  <c r="U106" i="2"/>
  <c r="V106" i="2"/>
  <c r="Q93" i="2"/>
  <c r="Q94" i="2"/>
  <c r="Q95" i="2"/>
  <c r="Q96" i="2"/>
  <c r="Q97" i="2"/>
  <c r="R97" i="2" s="1"/>
  <c r="Q98" i="2"/>
  <c r="R98" i="2" s="1"/>
  <c r="Q99" i="2"/>
  <c r="R99" i="2" s="1"/>
  <c r="T106" i="2"/>
  <c r="V94" i="2"/>
  <c r="S88" i="2"/>
  <c r="U88" i="2"/>
  <c r="W88" i="2"/>
  <c r="Q76" i="2"/>
  <c r="Q77" i="2"/>
  <c r="R77" i="2" s="1"/>
  <c r="Q78" i="2"/>
  <c r="R78" i="2" s="1"/>
  <c r="Q79" i="2"/>
  <c r="W70" i="2"/>
  <c r="S70" i="2"/>
  <c r="U70" i="2"/>
  <c r="Q57" i="2"/>
  <c r="Q58" i="2"/>
  <c r="Q59" i="2"/>
  <c r="Q60" i="2"/>
  <c r="R60" i="2" s="1"/>
  <c r="Q61" i="2"/>
  <c r="R61" i="2" s="1"/>
  <c r="T70" i="2"/>
  <c r="V57" i="2"/>
  <c r="Q88" i="2" l="1"/>
  <c r="Q106" i="2"/>
  <c r="Q178" i="2"/>
  <c r="P222" i="2"/>
  <c r="W222" i="2" s="1"/>
  <c r="P220" i="2"/>
  <c r="W220" i="2" s="1"/>
  <c r="P218" i="2"/>
  <c r="P216" i="2"/>
  <c r="P214" i="2"/>
  <c r="P212" i="2"/>
  <c r="P221" i="2"/>
  <c r="W221" i="2" s="1"/>
  <c r="P219" i="2"/>
  <c r="P217" i="2"/>
  <c r="P215" i="2"/>
  <c r="P213" i="2"/>
  <c r="P211" i="2"/>
  <c r="Q87" i="11"/>
  <c r="Q70" i="2"/>
  <c r="R129" i="2"/>
  <c r="R133" i="11"/>
  <c r="R59" i="2"/>
  <c r="R76" i="2"/>
  <c r="R130" i="2"/>
  <c r="R10" i="11"/>
  <c r="R9" i="11"/>
  <c r="R134" i="2"/>
  <c r="J147" i="11"/>
  <c r="W142" i="2"/>
  <c r="P206" i="2"/>
  <c r="J148" i="11"/>
  <c r="R170" i="2"/>
  <c r="R40" i="11"/>
  <c r="R95" i="11"/>
  <c r="R94" i="11"/>
  <c r="R112" i="11"/>
  <c r="R58" i="2"/>
  <c r="R79" i="2"/>
  <c r="R132" i="2"/>
  <c r="R96" i="2"/>
  <c r="R95" i="2"/>
  <c r="Q16" i="11"/>
  <c r="G24" i="18"/>
  <c r="R25" i="11"/>
  <c r="Q33" i="11"/>
  <c r="R147" i="2"/>
  <c r="R94" i="2"/>
  <c r="V204" i="2"/>
  <c r="R39" i="11"/>
  <c r="T33" i="11"/>
  <c r="L150" i="11"/>
  <c r="W147" i="11"/>
  <c r="U147" i="11"/>
  <c r="R111" i="11"/>
  <c r="R93" i="11"/>
  <c r="R129" i="11"/>
  <c r="V147" i="11"/>
  <c r="M5" i="13"/>
  <c r="K5" i="13"/>
  <c r="H5" i="13"/>
  <c r="S147" i="11"/>
  <c r="O5" i="13"/>
  <c r="P169" i="11"/>
  <c r="W169" i="11" s="1"/>
  <c r="W157" i="11"/>
  <c r="R76" i="11"/>
  <c r="R77" i="11"/>
  <c r="R75" i="11"/>
  <c r="L223" i="2"/>
  <c r="T223" i="2" s="1"/>
  <c r="T211" i="2"/>
  <c r="O223" i="2"/>
  <c r="V223" i="2" s="1"/>
  <c r="V211" i="2"/>
  <c r="H13" i="18"/>
  <c r="F24" i="18"/>
  <c r="U148" i="11"/>
  <c r="I5" i="13"/>
  <c r="R168" i="2"/>
  <c r="R166" i="2"/>
  <c r="R169" i="2"/>
  <c r="R167" i="2"/>
  <c r="N7" i="12"/>
  <c r="M7" i="12"/>
  <c r="K7" i="12"/>
  <c r="L7" i="12" s="1"/>
  <c r="O7" i="12"/>
  <c r="U204" i="2"/>
  <c r="T88" i="2"/>
  <c r="T16" i="11"/>
  <c r="S148" i="11"/>
  <c r="V148" i="11"/>
  <c r="G5" i="13"/>
  <c r="W141" i="11"/>
  <c r="R128" i="11"/>
  <c r="R110" i="11"/>
  <c r="R92" i="11"/>
  <c r="R74" i="11"/>
  <c r="R56" i="11"/>
  <c r="R38" i="11"/>
  <c r="R21" i="11"/>
  <c r="R197" i="2"/>
  <c r="R165" i="2"/>
  <c r="R124" i="2"/>
  <c r="R93" i="2"/>
  <c r="R57" i="2"/>
  <c r="J167" i="11" l="1"/>
  <c r="J166" i="11"/>
  <c r="J165" i="11"/>
  <c r="J164" i="11"/>
  <c r="J163" i="11"/>
  <c r="J161" i="11"/>
  <c r="J159" i="11"/>
  <c r="J157" i="11"/>
  <c r="J162" i="11"/>
  <c r="J160" i="11"/>
  <c r="J158" i="11"/>
  <c r="J168" i="11"/>
  <c r="J150" i="11"/>
  <c r="Q147" i="11"/>
  <c r="R147" i="11" s="1"/>
  <c r="W219" i="2"/>
  <c r="W217" i="2"/>
  <c r="W213" i="2"/>
  <c r="W212" i="2"/>
  <c r="W218" i="2"/>
  <c r="W214" i="2"/>
  <c r="W216" i="2"/>
  <c r="W215" i="2"/>
  <c r="Q148" i="11"/>
  <c r="R160" i="2"/>
  <c r="J5" i="13"/>
  <c r="V5" i="13"/>
  <c r="S150" i="11"/>
  <c r="R105" i="11"/>
  <c r="H26" i="18"/>
  <c r="R123" i="11"/>
  <c r="H19" i="18"/>
  <c r="R141" i="11"/>
  <c r="H27" i="18"/>
  <c r="R51" i="11"/>
  <c r="H20" i="18"/>
  <c r="R69" i="11"/>
  <c r="H18" i="18"/>
  <c r="R33" i="11"/>
  <c r="H21" i="18"/>
  <c r="R16" i="11"/>
  <c r="H23" i="18"/>
  <c r="V150" i="11"/>
  <c r="R87" i="11"/>
  <c r="H22" i="18"/>
  <c r="R70" i="2"/>
  <c r="H7" i="18"/>
  <c r="R106" i="2"/>
  <c r="H10" i="18"/>
  <c r="R178" i="2"/>
  <c r="H15" i="18"/>
  <c r="H12" i="18"/>
  <c r="R142" i="2"/>
  <c r="H9" i="18"/>
  <c r="M9" i="18" s="1"/>
  <c r="R88" i="2"/>
  <c r="H11" i="18"/>
  <c r="I13" i="18"/>
  <c r="M13" i="18"/>
  <c r="W204" i="2"/>
  <c r="T204" i="2"/>
  <c r="T147" i="11"/>
  <c r="S5" i="13"/>
  <c r="T148" i="11"/>
  <c r="W148" i="11"/>
  <c r="E11" i="9"/>
  <c r="Q167" i="11" l="1"/>
  <c r="R167" i="11" s="1"/>
  <c r="Q166" i="11"/>
  <c r="Q165" i="11"/>
  <c r="R165" i="11" s="1"/>
  <c r="Q164" i="11"/>
  <c r="Q163" i="11"/>
  <c r="Q162" i="11"/>
  <c r="R162" i="11" s="1"/>
  <c r="Q161" i="11"/>
  <c r="Q160" i="11"/>
  <c r="R160" i="11" s="1"/>
  <c r="Q159" i="11"/>
  <c r="R159" i="11" s="1"/>
  <c r="Q158" i="11"/>
  <c r="R158" i="11" s="1"/>
  <c r="Q157" i="11"/>
  <c r="R157" i="11" s="1"/>
  <c r="Q168" i="11"/>
  <c r="R168" i="11" s="1"/>
  <c r="R161" i="11"/>
  <c r="R164" i="11"/>
  <c r="J169" i="11"/>
  <c r="P223" i="2"/>
  <c r="W223" i="2" s="1"/>
  <c r="W211" i="2"/>
  <c r="H14" i="18"/>
  <c r="I14" i="18" s="1"/>
  <c r="Q150" i="11"/>
  <c r="R150" i="11" s="1"/>
  <c r="M26" i="18"/>
  <c r="I26" i="18"/>
  <c r="M19" i="18"/>
  <c r="I19" i="18"/>
  <c r="H28" i="18"/>
  <c r="I28" i="18" s="1"/>
  <c r="M27" i="18"/>
  <c r="I27" i="18"/>
  <c r="I20" i="18"/>
  <c r="M20" i="18"/>
  <c r="I18" i="18"/>
  <c r="M18" i="18"/>
  <c r="I21" i="18"/>
  <c r="M21" i="18"/>
  <c r="M23" i="18"/>
  <c r="I23" i="18"/>
  <c r="N5" i="13"/>
  <c r="U5" i="13" s="1"/>
  <c r="U150" i="11"/>
  <c r="H24" i="18"/>
  <c r="I24" i="18" s="1"/>
  <c r="M22" i="18"/>
  <c r="I22" i="18"/>
  <c r="M12" i="18"/>
  <c r="I12" i="18"/>
  <c r="H17" i="18"/>
  <c r="I17" i="18" s="1"/>
  <c r="I15" i="18"/>
  <c r="M15" i="18"/>
  <c r="M17" i="18" s="1"/>
  <c r="I10" i="18"/>
  <c r="M10" i="18"/>
  <c r="I7" i="18"/>
  <c r="M7" i="18"/>
  <c r="I11" i="18"/>
  <c r="M11" i="18"/>
  <c r="L5" i="13"/>
  <c r="T150" i="11"/>
  <c r="R148" i="11"/>
  <c r="W150" i="11"/>
  <c r="P5" i="13"/>
  <c r="R163" i="11" l="1"/>
  <c r="R166" i="11"/>
  <c r="Q169" i="11"/>
  <c r="R169" i="11" s="1"/>
  <c r="M14" i="18"/>
  <c r="M24" i="18"/>
  <c r="M28" i="18"/>
  <c r="T5" i="13"/>
  <c r="W5" i="13"/>
  <c r="Q5" i="13"/>
  <c r="H10" i="9"/>
  <c r="W51" i="2"/>
  <c r="V51" i="2"/>
  <c r="T51" i="2"/>
  <c r="S51" i="2"/>
  <c r="U51" i="2"/>
  <c r="J51" i="2"/>
  <c r="W48" i="2"/>
  <c r="V48" i="2"/>
  <c r="T48" i="2"/>
  <c r="S48" i="2"/>
  <c r="U48" i="2"/>
  <c r="J48" i="2"/>
  <c r="W47" i="2"/>
  <c r="V47" i="2"/>
  <c r="T47" i="2"/>
  <c r="S47" i="2"/>
  <c r="U47" i="2"/>
  <c r="J47" i="2"/>
  <c r="W46" i="2"/>
  <c r="V46" i="2"/>
  <c r="T46" i="2"/>
  <c r="S46" i="2"/>
  <c r="U46" i="2"/>
  <c r="J46" i="2"/>
  <c r="W45" i="2"/>
  <c r="V45" i="2"/>
  <c r="T45" i="2"/>
  <c r="S45" i="2"/>
  <c r="U45" i="2"/>
  <c r="J45" i="2"/>
  <c r="W44" i="2"/>
  <c r="V44" i="2"/>
  <c r="T44" i="2"/>
  <c r="S44" i="2"/>
  <c r="U44" i="2"/>
  <c r="J44" i="2"/>
  <c r="W43" i="2"/>
  <c r="V43" i="2"/>
  <c r="T43" i="2"/>
  <c r="S43" i="2"/>
  <c r="U43" i="2"/>
  <c r="J43" i="2"/>
  <c r="W42" i="2"/>
  <c r="V42" i="2"/>
  <c r="T42" i="2"/>
  <c r="S42" i="2"/>
  <c r="U42" i="2"/>
  <c r="J42" i="2"/>
  <c r="W41" i="2"/>
  <c r="V41" i="2"/>
  <c r="T41" i="2"/>
  <c r="S41" i="2"/>
  <c r="U41" i="2"/>
  <c r="J41" i="2"/>
  <c r="W40" i="2"/>
  <c r="V40" i="2"/>
  <c r="T40" i="2"/>
  <c r="S40" i="2"/>
  <c r="U40" i="2"/>
  <c r="J40" i="2"/>
  <c r="W39" i="2"/>
  <c r="V39" i="2"/>
  <c r="T39" i="2"/>
  <c r="S39" i="2"/>
  <c r="U39" i="2"/>
  <c r="J39" i="2"/>
  <c r="W38" i="2"/>
  <c r="V38" i="2"/>
  <c r="T38" i="2"/>
  <c r="S38" i="2"/>
  <c r="T52" i="2"/>
  <c r="J38" i="2"/>
  <c r="W32" i="2"/>
  <c r="V32" i="2"/>
  <c r="T32" i="2"/>
  <c r="S32" i="2"/>
  <c r="U32" i="2"/>
  <c r="J32" i="2"/>
  <c r="W31" i="2"/>
  <c r="V31" i="2"/>
  <c r="T31" i="2"/>
  <c r="S31" i="2"/>
  <c r="U31" i="2"/>
  <c r="J31" i="2"/>
  <c r="W30" i="2"/>
  <c r="V30" i="2"/>
  <c r="T30" i="2"/>
  <c r="S30" i="2"/>
  <c r="U30" i="2"/>
  <c r="J30" i="2"/>
  <c r="W29" i="2"/>
  <c r="V29" i="2"/>
  <c r="T29" i="2"/>
  <c r="S29" i="2"/>
  <c r="U29" i="2"/>
  <c r="J29" i="2"/>
  <c r="W28" i="2"/>
  <c r="V28" i="2"/>
  <c r="T28" i="2"/>
  <c r="S28" i="2"/>
  <c r="U28" i="2"/>
  <c r="J28" i="2"/>
  <c r="W27" i="2"/>
  <c r="V27" i="2"/>
  <c r="T27" i="2"/>
  <c r="S27" i="2"/>
  <c r="U27" i="2"/>
  <c r="J27" i="2"/>
  <c r="W26" i="2"/>
  <c r="V26" i="2"/>
  <c r="T26" i="2"/>
  <c r="S26" i="2"/>
  <c r="U26" i="2"/>
  <c r="J26" i="2"/>
  <c r="W25" i="2"/>
  <c r="V25" i="2"/>
  <c r="T25" i="2"/>
  <c r="S25" i="2"/>
  <c r="U25" i="2"/>
  <c r="J25" i="2"/>
  <c r="W24" i="2"/>
  <c r="V24" i="2"/>
  <c r="T24" i="2"/>
  <c r="S24" i="2"/>
  <c r="U24" i="2"/>
  <c r="J24" i="2"/>
  <c r="W23" i="2"/>
  <c r="V23" i="2"/>
  <c r="T23" i="2"/>
  <c r="S23" i="2"/>
  <c r="U23" i="2"/>
  <c r="J23" i="2"/>
  <c r="W22" i="2"/>
  <c r="V22" i="2"/>
  <c r="T22" i="2"/>
  <c r="S22" i="2"/>
  <c r="U22" i="2"/>
  <c r="J22" i="2"/>
  <c r="W21" i="2"/>
  <c r="V21" i="2"/>
  <c r="T21" i="2"/>
  <c r="S21" i="2"/>
  <c r="J21" i="2"/>
  <c r="J204" i="2" l="1"/>
  <c r="J33" i="2"/>
  <c r="G6" i="18"/>
  <c r="G8" i="18" s="1"/>
  <c r="G203" i="2"/>
  <c r="G206" i="2" s="1"/>
  <c r="R5" i="13"/>
  <c r="G11" i="9"/>
  <c r="I10" i="9"/>
  <c r="T33" i="2"/>
  <c r="U52" i="2"/>
  <c r="S52" i="2"/>
  <c r="V52" i="2"/>
  <c r="U33" i="2"/>
  <c r="S33" i="2"/>
  <c r="V33" i="2"/>
  <c r="W52" i="2"/>
  <c r="Q38" i="2"/>
  <c r="U38" i="2"/>
  <c r="Q39" i="2"/>
  <c r="Q40" i="2"/>
  <c r="Q41" i="2"/>
  <c r="Q42" i="2"/>
  <c r="Q43" i="2"/>
  <c r="Q44" i="2"/>
  <c r="Q45" i="2"/>
  <c r="Q46" i="2"/>
  <c r="Q47" i="2"/>
  <c r="Q48" i="2"/>
  <c r="R48" i="2" s="1"/>
  <c r="Q51" i="2"/>
  <c r="W33" i="2"/>
  <c r="Q21" i="2"/>
  <c r="U21" i="2"/>
  <c r="Q22" i="2"/>
  <c r="R22" i="2" s="1"/>
  <c r="Q23" i="2"/>
  <c r="R23" i="2" s="1"/>
  <c r="Q24" i="2"/>
  <c r="R24" i="2" s="1"/>
  <c r="Q25" i="2"/>
  <c r="Q26" i="2"/>
  <c r="R26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R32" i="2" l="1"/>
  <c r="Q204" i="2"/>
  <c r="R25" i="2"/>
  <c r="Q33" i="2"/>
  <c r="H6" i="18" s="1"/>
  <c r="R46" i="2"/>
  <c r="R44" i="2"/>
  <c r="R42" i="2"/>
  <c r="R40" i="2"/>
  <c r="R47" i="2"/>
  <c r="R45" i="2"/>
  <c r="R43" i="2"/>
  <c r="R41" i="2"/>
  <c r="R39" i="2"/>
  <c r="R51" i="2"/>
  <c r="R205" i="2"/>
  <c r="R38" i="2"/>
  <c r="R21" i="2"/>
  <c r="Q12" i="1"/>
  <c r="O12" i="1"/>
  <c r="H5" i="18" l="1"/>
  <c r="I5" i="18" s="1"/>
  <c r="R204" i="2"/>
  <c r="I6" i="18"/>
  <c r="M6" i="18"/>
  <c r="R52" i="2"/>
  <c r="R33" i="2"/>
  <c r="P12" i="1"/>
  <c r="H8" i="18" l="1"/>
  <c r="I8" i="18" s="1"/>
  <c r="M5" i="18"/>
  <c r="M8" i="18" s="1"/>
  <c r="M11" i="1"/>
  <c r="N11" i="1" s="1"/>
  <c r="F16" i="1" l="1"/>
  <c r="I4" i="13"/>
  <c r="I6" i="13" s="1"/>
  <c r="M4" i="13"/>
  <c r="M6" i="13" s="1"/>
  <c r="J15" i="2"/>
  <c r="J222" i="2" s="1"/>
  <c r="J14" i="2"/>
  <c r="J221" i="2" s="1"/>
  <c r="J13" i="2"/>
  <c r="J220" i="2" s="1"/>
  <c r="J12" i="2"/>
  <c r="J219" i="2" s="1"/>
  <c r="J11" i="2"/>
  <c r="J218" i="2" s="1"/>
  <c r="J10" i="2"/>
  <c r="J217" i="2" s="1"/>
  <c r="J9" i="2"/>
  <c r="J216" i="2" s="1"/>
  <c r="J8" i="2"/>
  <c r="J215" i="2" s="1"/>
  <c r="J7" i="2"/>
  <c r="J214" i="2" s="1"/>
  <c r="J6" i="2"/>
  <c r="J213" i="2" s="1"/>
  <c r="J5" i="2"/>
  <c r="J212" i="2" s="1"/>
  <c r="J4" i="2"/>
  <c r="J211" i="2" s="1"/>
  <c r="J223" i="2" l="1"/>
  <c r="J16" i="2"/>
  <c r="F72" i="1"/>
  <c r="D3" i="18"/>
  <c r="F73" i="1"/>
  <c r="H4" i="13"/>
  <c r="P4" i="13"/>
  <c r="P6" i="13" s="1"/>
  <c r="O4" i="13"/>
  <c r="O6" i="13" s="1"/>
  <c r="N4" i="13"/>
  <c r="N6" i="13" s="1"/>
  <c r="L4" i="13"/>
  <c r="L6" i="13" s="1"/>
  <c r="G3" i="18"/>
  <c r="G4" i="18" s="1"/>
  <c r="G29" i="18" s="1"/>
  <c r="W15" i="2"/>
  <c r="V15" i="2"/>
  <c r="U15" i="2"/>
  <c r="T15" i="2"/>
  <c r="S15" i="2"/>
  <c r="Q15" i="2"/>
  <c r="W14" i="2"/>
  <c r="V14" i="2"/>
  <c r="U14" i="2"/>
  <c r="T14" i="2"/>
  <c r="S14" i="2"/>
  <c r="Q14" i="2"/>
  <c r="Q221" i="2" s="1"/>
  <c r="W13" i="2"/>
  <c r="V13" i="2"/>
  <c r="U13" i="2"/>
  <c r="T13" i="2"/>
  <c r="S13" i="2"/>
  <c r="Q13" i="2"/>
  <c r="Q220" i="2" s="1"/>
  <c r="W12" i="2"/>
  <c r="V12" i="2"/>
  <c r="U12" i="2"/>
  <c r="T12" i="2"/>
  <c r="S12" i="2"/>
  <c r="Q12" i="2"/>
  <c r="Q219" i="2" s="1"/>
  <c r="W11" i="2"/>
  <c r="V11" i="2"/>
  <c r="U11" i="2"/>
  <c r="T11" i="2"/>
  <c r="S11" i="2"/>
  <c r="Q11" i="2"/>
  <c r="Q218" i="2" s="1"/>
  <c r="W10" i="2"/>
  <c r="V10" i="2"/>
  <c r="U10" i="2"/>
  <c r="T10" i="2"/>
  <c r="S10" i="2"/>
  <c r="Q10" i="2"/>
  <c r="W9" i="2"/>
  <c r="V9" i="2"/>
  <c r="U9" i="2"/>
  <c r="T9" i="2"/>
  <c r="S9" i="2"/>
  <c r="Q9" i="2"/>
  <c r="Q216" i="2" s="1"/>
  <c r="W8" i="2"/>
  <c r="V8" i="2"/>
  <c r="U8" i="2"/>
  <c r="T8" i="2"/>
  <c r="S8" i="2"/>
  <c r="Q8" i="2"/>
  <c r="Q215" i="2" s="1"/>
  <c r="W7" i="2"/>
  <c r="V7" i="2"/>
  <c r="U7" i="2"/>
  <c r="T7" i="2"/>
  <c r="S7" i="2"/>
  <c r="Q7" i="2"/>
  <c r="Q214" i="2" s="1"/>
  <c r="W6" i="2"/>
  <c r="V6" i="2"/>
  <c r="U6" i="2"/>
  <c r="T6" i="2"/>
  <c r="S6" i="2"/>
  <c r="Q6" i="2"/>
  <c r="Q213" i="2" s="1"/>
  <c r="W5" i="2"/>
  <c r="V5" i="2"/>
  <c r="U5" i="2"/>
  <c r="T5" i="2"/>
  <c r="S5" i="2"/>
  <c r="Q5" i="2"/>
  <c r="Q212" i="2" s="1"/>
  <c r="W4" i="2"/>
  <c r="V4" i="2"/>
  <c r="U4" i="2"/>
  <c r="T4" i="2"/>
  <c r="S4" i="2"/>
  <c r="Q4" i="2"/>
  <c r="Q211" i="2" s="1"/>
  <c r="L16" i="1"/>
  <c r="L72" i="1" s="1"/>
  <c r="L73" i="1" s="1"/>
  <c r="J5" i="12" s="1"/>
  <c r="J8" i="12" s="1"/>
  <c r="K16" i="1"/>
  <c r="K72" i="1" s="1"/>
  <c r="K73" i="1" s="1"/>
  <c r="I5" i="12" s="1"/>
  <c r="I8" i="12" s="1"/>
  <c r="J16" i="1"/>
  <c r="J72" i="1" s="1"/>
  <c r="J73" i="1" s="1"/>
  <c r="H5" i="12" s="1"/>
  <c r="H8" i="12" s="1"/>
  <c r="I16" i="1"/>
  <c r="I72" i="1" s="1"/>
  <c r="I73" i="1" s="1"/>
  <c r="H16" i="1"/>
  <c r="H72" i="1" s="1"/>
  <c r="G16" i="1"/>
  <c r="G72" i="1" s="1"/>
  <c r="Q15" i="1"/>
  <c r="P15" i="1"/>
  <c r="O15" i="1"/>
  <c r="M15" i="1"/>
  <c r="N15" i="1" s="1"/>
  <c r="Q14" i="1"/>
  <c r="P14" i="1"/>
  <c r="O14" i="1"/>
  <c r="M14" i="1"/>
  <c r="N14" i="1" s="1"/>
  <c r="Q13" i="1"/>
  <c r="P13" i="1"/>
  <c r="O13" i="1"/>
  <c r="M13" i="1"/>
  <c r="N13" i="1" s="1"/>
  <c r="M12" i="1"/>
  <c r="M10" i="1"/>
  <c r="N10" i="1" s="1"/>
  <c r="M9" i="1"/>
  <c r="N9" i="1" s="1"/>
  <c r="M8" i="1"/>
  <c r="N8" i="1" s="1"/>
  <c r="Q7" i="1"/>
  <c r="P7" i="1"/>
  <c r="O7" i="1"/>
  <c r="M7" i="1"/>
  <c r="N7" i="1" s="1"/>
  <c r="Q6" i="1"/>
  <c r="P6" i="1"/>
  <c r="O6" i="1"/>
  <c r="M6" i="1"/>
  <c r="N6" i="1" s="1"/>
  <c r="Q5" i="1"/>
  <c r="P5" i="1"/>
  <c r="O5" i="1"/>
  <c r="M5" i="1"/>
  <c r="N5" i="1" s="1"/>
  <c r="Q4" i="1"/>
  <c r="P4" i="1"/>
  <c r="O4" i="1"/>
  <c r="M4" i="1"/>
  <c r="Q217" i="2" l="1"/>
  <c r="E19" i="13" s="1"/>
  <c r="Q222" i="2"/>
  <c r="E24" i="13" s="1"/>
  <c r="E13" i="13"/>
  <c r="F13" i="13" s="1"/>
  <c r="E14" i="13"/>
  <c r="E15" i="13"/>
  <c r="E16" i="13"/>
  <c r="E17" i="13"/>
  <c r="E18" i="13"/>
  <c r="E20" i="13"/>
  <c r="G73" i="1"/>
  <c r="F5" i="12" s="1"/>
  <c r="F8" i="12" s="1"/>
  <c r="B6" i="9" s="1"/>
  <c r="C6" i="9" s="1"/>
  <c r="E72" i="1"/>
  <c r="E22" i="13"/>
  <c r="E21" i="13"/>
  <c r="R14" i="2"/>
  <c r="J203" i="2"/>
  <c r="J206" i="2" s="1"/>
  <c r="Q16" i="2"/>
  <c r="D4" i="18"/>
  <c r="R8" i="2"/>
  <c r="R9" i="2"/>
  <c r="R10" i="2"/>
  <c r="R11" i="2"/>
  <c r="R12" i="2"/>
  <c r="R13" i="2"/>
  <c r="R15" i="2"/>
  <c r="R5" i="2"/>
  <c r="R6" i="2"/>
  <c r="R7" i="2"/>
  <c r="O72" i="1"/>
  <c r="Q72" i="1"/>
  <c r="E5" i="12"/>
  <c r="O73" i="1"/>
  <c r="Q73" i="1"/>
  <c r="H73" i="1"/>
  <c r="P72" i="1"/>
  <c r="K4" i="13"/>
  <c r="J4" i="13"/>
  <c r="J6" i="13" s="1"/>
  <c r="H6" i="13"/>
  <c r="N12" i="1"/>
  <c r="M16" i="1"/>
  <c r="E16" i="1"/>
  <c r="W16" i="2"/>
  <c r="R4" i="2"/>
  <c r="U16" i="2"/>
  <c r="T16" i="2"/>
  <c r="V16" i="2"/>
  <c r="S16" i="2"/>
  <c r="N4" i="1"/>
  <c r="Q16" i="1"/>
  <c r="P16" i="1"/>
  <c r="O16" i="1"/>
  <c r="H6" i="9" l="1"/>
  <c r="E73" i="1"/>
  <c r="Q223" i="2"/>
  <c r="R211" i="2"/>
  <c r="E23" i="13"/>
  <c r="F23" i="13" s="1"/>
  <c r="R221" i="2"/>
  <c r="Q203" i="2"/>
  <c r="Q206" i="2" s="1"/>
  <c r="H3" i="18"/>
  <c r="H4" i="18" s="1"/>
  <c r="M72" i="1"/>
  <c r="N72" i="1" s="1"/>
  <c r="E3" i="18"/>
  <c r="D29" i="18"/>
  <c r="F16" i="13"/>
  <c r="R214" i="2"/>
  <c r="R212" i="2"/>
  <c r="F22" i="13"/>
  <c r="R220" i="2"/>
  <c r="F21" i="13"/>
  <c r="R219" i="2"/>
  <c r="F20" i="13"/>
  <c r="R218" i="2"/>
  <c r="F19" i="13"/>
  <c r="R217" i="2"/>
  <c r="F18" i="13"/>
  <c r="R216" i="2"/>
  <c r="F17" i="13"/>
  <c r="R215" i="2"/>
  <c r="R213" i="2"/>
  <c r="F24" i="13"/>
  <c r="R222" i="2"/>
  <c r="M5" i="12"/>
  <c r="O5" i="12"/>
  <c r="E8" i="12"/>
  <c r="G5" i="12"/>
  <c r="P73" i="1"/>
  <c r="I6" i="9"/>
  <c r="K6" i="13"/>
  <c r="Q4" i="13"/>
  <c r="Q6" i="13" s="1"/>
  <c r="T203" i="2"/>
  <c r="W203" i="2"/>
  <c r="U203" i="2"/>
  <c r="S203" i="2"/>
  <c r="V203" i="2"/>
  <c r="R16" i="2"/>
  <c r="N16" i="1"/>
  <c r="R203" i="2" l="1"/>
  <c r="I3" i="18"/>
  <c r="M73" i="1"/>
  <c r="N73" i="1" s="1"/>
  <c r="R223" i="2"/>
  <c r="F15" i="13"/>
  <c r="I4" i="18"/>
  <c r="H29" i="18"/>
  <c r="I29" i="18" s="1"/>
  <c r="E4" i="18"/>
  <c r="M3" i="18"/>
  <c r="M4" i="18" s="1"/>
  <c r="M29" i="18" s="1"/>
  <c r="F3" i="18"/>
  <c r="F14" i="13"/>
  <c r="M8" i="12"/>
  <c r="O8" i="12"/>
  <c r="K5" i="12"/>
  <c r="L5" i="12" s="1"/>
  <c r="N5" i="12"/>
  <c r="G8" i="12"/>
  <c r="U206" i="2"/>
  <c r="S206" i="2"/>
  <c r="W206" i="2"/>
  <c r="R206" i="2"/>
  <c r="V206" i="2"/>
  <c r="G4" i="13"/>
  <c r="T206" i="2"/>
  <c r="E25" i="13" l="1"/>
  <c r="F25" i="13" s="1"/>
  <c r="E29" i="18"/>
  <c r="F29" i="18" s="1"/>
  <c r="F4" i="18"/>
  <c r="N8" i="12"/>
  <c r="K8" i="12"/>
  <c r="V4" i="13"/>
  <c r="G6" i="13"/>
  <c r="B7" i="9" s="1"/>
  <c r="W4" i="13"/>
  <c r="R4" i="13"/>
  <c r="U4" i="13"/>
  <c r="S4" i="13"/>
  <c r="T4" i="13"/>
  <c r="L8" i="12" l="1"/>
  <c r="B13" i="9"/>
  <c r="H13" i="9" s="1"/>
  <c r="H7" i="9"/>
  <c r="C7" i="9"/>
  <c r="B12" i="9" s="1"/>
  <c r="S6" i="13"/>
  <c r="V6" i="13"/>
  <c r="W6" i="13"/>
  <c r="U6" i="13"/>
  <c r="T6" i="13"/>
  <c r="R6" i="13"/>
  <c r="I7" i="9" l="1"/>
  <c r="I11" i="9" s="1"/>
  <c r="H12" i="9"/>
  <c r="C11" i="9"/>
</calcChain>
</file>

<file path=xl/sharedStrings.xml><?xml version="1.0" encoding="utf-8"?>
<sst xmlns="http://schemas.openxmlformats.org/spreadsheetml/2006/main" count="2682" uniqueCount="459">
  <si>
    <t>Ssz.</t>
  </si>
  <si>
    <t>MJ/hó</t>
  </si>
  <si>
    <t>Korrigált gázfelhasználás</t>
  </si>
  <si>
    <t>Kezdete</t>
  </si>
  <si>
    <t>Vége</t>
  </si>
  <si>
    <t>Elszámolási időszak</t>
  </si>
  <si>
    <t>Összesen</t>
  </si>
  <si>
    <t>Villamos energia felhasználás kWh/hó</t>
  </si>
  <si>
    <t>Meddő energia  felhasználás kVArh</t>
  </si>
  <si>
    <t>Villamos energia költség</t>
  </si>
  <si>
    <t>Rendszer-használati összköltség</t>
  </si>
  <si>
    <t>Villamos energia felhasználás nettó költsége Ft/hó</t>
  </si>
  <si>
    <t>Meddő energiák költsége</t>
  </si>
  <si>
    <t>Gázfelhasználás nettó költsége Ft/hó</t>
  </si>
  <si>
    <t>Teljesítmény, alapdíj költség</t>
  </si>
  <si>
    <t>Forgalmi költség</t>
  </si>
  <si>
    <t>Molekula költség</t>
  </si>
  <si>
    <t>Kapaci-tív</t>
  </si>
  <si>
    <t>Üzemanyag felhasználás</t>
  </si>
  <si>
    <t>Összes gázköltség</t>
  </si>
  <si>
    <t>RHD</t>
  </si>
  <si>
    <t>Molekula</t>
  </si>
  <si>
    <t>Áram</t>
  </si>
  <si>
    <t>Összes áram költség</t>
  </si>
  <si>
    <t>Mavir pénz eszközök költsége</t>
  </si>
  <si>
    <t>Zöldenergia (KÁT) költség</t>
  </si>
  <si>
    <t>MSZKSZ költség</t>
  </si>
  <si>
    <t>Egyéb</t>
  </si>
  <si>
    <t>-</t>
  </si>
  <si>
    <t>Lekötött villamos teljesít-mény kW</t>
  </si>
  <si>
    <t>Igénybevett villamos teljesít-mény kW</t>
  </si>
  <si>
    <t>Fajlagos nettó villamos energia ár Ft/kWh</t>
  </si>
  <si>
    <t>Mavir</t>
  </si>
  <si>
    <t>KÁT</t>
  </si>
  <si>
    <t>Érintett részterületek</t>
  </si>
  <si>
    <t>Épület</t>
  </si>
  <si>
    <t>Szállítás</t>
  </si>
  <si>
    <t>Tevékenység</t>
  </si>
  <si>
    <t>Energia felhasználás</t>
  </si>
  <si>
    <t>Természetes me.</t>
  </si>
  <si>
    <t>Földgáz MJ/év</t>
  </si>
  <si>
    <t>Villamos energia kWh/év</t>
  </si>
  <si>
    <t>Üzemanyag l/év</t>
  </si>
  <si>
    <t>MWh/év</t>
  </si>
  <si>
    <t>Energiahatékonyság növelés vizsgálata</t>
  </si>
  <si>
    <t>Energiahatékonyság növelő intézkedés</t>
  </si>
  <si>
    <t>Műszaki rendszer megnevezése, műszaki tartalom</t>
  </si>
  <si>
    <t>Szerepelt-e az auditjavaslatok között?</t>
  </si>
  <si>
    <t>Támogatással valósult-e meg és milyennel?</t>
  </si>
  <si>
    <t>Melyik részterületet érintette?</t>
  </si>
  <si>
    <t>Tervezett energiamegtakarítás mértéke</t>
  </si>
  <si>
    <t>Elért energiamegtakarítás mértéke</t>
  </si>
  <si>
    <t>Támogatással elért energia megtakarítás mértéke</t>
  </si>
  <si>
    <t>Elért nem energiaköltség típusú megtakarítás intézkedésenként eFt/év</t>
  </si>
  <si>
    <t>Intézkedés megvalósulásának dátuma</t>
  </si>
  <si>
    <t>Felhasználás mértéke</t>
  </si>
  <si>
    <t>Szmeléletformálási tevékenység</t>
  </si>
  <si>
    <t>Jellege, leírása</t>
  </si>
  <si>
    <t>Helyszíne</t>
  </si>
  <si>
    <t>Gyakorisága, élettartama</t>
  </si>
  <si>
    <t>Passzív</t>
  </si>
  <si>
    <t>Aktív</t>
  </si>
  <si>
    <t>Elért résztvevők száma</t>
  </si>
  <si>
    <t>Intézkedés műszaki rendszerének tervezett élettartama év</t>
  </si>
  <si>
    <t>Telep-hely</t>
  </si>
  <si>
    <r>
      <t>Fűtőérték MJ/m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</si>
  <si>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Fajlagos nettó költség Ft/m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</si>
  <si>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/hó</t>
    </r>
  </si>
  <si>
    <t>Induktív</t>
  </si>
  <si>
    <t>Energia/ jövedéki adó költség</t>
  </si>
  <si>
    <t>1. melléklet</t>
  </si>
  <si>
    <t>2. melléklet</t>
  </si>
  <si>
    <t>Baja</t>
  </si>
  <si>
    <t>Baja Szakképzési Centrum Bajai Havi földgáz felhasználásai és költségei</t>
  </si>
  <si>
    <t>1.a. melléklet</t>
  </si>
  <si>
    <t>1.b. melléklet</t>
  </si>
  <si>
    <t>Baja Szakképzési Centrum Összesített Havi földgáz felhasználásai és költségei</t>
  </si>
  <si>
    <t>Bajai Szakképzési Centrum Bajai Havi villamos energia felhasználásai és költségei</t>
  </si>
  <si>
    <t>2.a. melléklet</t>
  </si>
  <si>
    <t>Baja Összesen</t>
  </si>
  <si>
    <t>Bajai Szakképzési Centrum Kalocsai Havi villamos energia felhasználásai és költségei</t>
  </si>
  <si>
    <t>2.b. melléklet</t>
  </si>
  <si>
    <t>Bajai Szakképzési Centrum Összesített Havi villamos energia felhasználásai és költségei</t>
  </si>
  <si>
    <t>Bajai SZC Összesen</t>
  </si>
  <si>
    <t>Kalocsa Összesen</t>
  </si>
  <si>
    <t>Baja, Bácska tér 1.</t>
  </si>
  <si>
    <t>POD:</t>
  </si>
  <si>
    <t>Mérő gyári száma:</t>
  </si>
  <si>
    <t>Idősoros</t>
  </si>
  <si>
    <t>Induktív (25% felett)</t>
  </si>
  <si>
    <t>HU000310F11-S10000000000001019048</t>
  </si>
  <si>
    <t>Türr István Gazdasági Szakgimnázium</t>
  </si>
  <si>
    <t>Fogy.hely azonosító:</t>
  </si>
  <si>
    <t>0400022869</t>
  </si>
  <si>
    <t>Baja, Szegedi út 69-71.</t>
  </si>
  <si>
    <t>1601513050411116</t>
  </si>
  <si>
    <t>HU000310F11-S10000000000001016362</t>
  </si>
  <si>
    <t xml:space="preserve">Jelky András Szakgimnázium </t>
  </si>
  <si>
    <t>0400000244</t>
  </si>
  <si>
    <t>HU000310F11-S10000000000001019387</t>
  </si>
  <si>
    <t>Profilos</t>
  </si>
  <si>
    <t>1301911001391726</t>
  </si>
  <si>
    <t>0400022727</t>
  </si>
  <si>
    <t>Elsz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</si>
  <si>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</si>
  <si>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</si>
  <si>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</si>
  <si>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</si>
  <si>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</si>
  <si>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</si>
  <si>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</si>
  <si>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</si>
  <si>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</si>
  <si>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</si>
  <si>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</si>
  <si>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Baja, Szent Antal utca 17.</t>
  </si>
  <si>
    <t>HU000310F11-S10000000000001019570</t>
  </si>
  <si>
    <t>0400023255</t>
  </si>
  <si>
    <t>84698740</t>
  </si>
  <si>
    <t>Baja, Vasvári Pál utca 6.</t>
  </si>
  <si>
    <t>HU000310F11-S10000000000001802343</t>
  </si>
  <si>
    <t>Bányai Júlia Kereskedelmi Szakgimnázium</t>
  </si>
  <si>
    <t>0400801724</t>
  </si>
  <si>
    <t>2800108100004204</t>
  </si>
  <si>
    <t>Baja, Malom utca 15.</t>
  </si>
  <si>
    <t>HU000310F11-S10000000000001002931</t>
  </si>
  <si>
    <t>0400023838</t>
  </si>
  <si>
    <t>Baja, Köztársaság tér 1.</t>
  </si>
  <si>
    <t>HU000310F11-S10000000000001011073</t>
  </si>
  <si>
    <t>0400004459</t>
  </si>
  <si>
    <t>HU000310F11-S10000000000001012851</t>
  </si>
  <si>
    <t>0400023405</t>
  </si>
  <si>
    <t>HU000310F11-S10000000000001006962</t>
  </si>
  <si>
    <t>0400022482</t>
  </si>
  <si>
    <t>Baja, Szenes utca 12.</t>
  </si>
  <si>
    <t>HU000310F11-S10000000000001020244</t>
  </si>
  <si>
    <t>1300706100010148</t>
  </si>
  <si>
    <t>0400023663</t>
  </si>
  <si>
    <t>Radnóti Miklós Kollégium</t>
  </si>
  <si>
    <t>Baja, Petőfi sziget 2.</t>
  </si>
  <si>
    <t>HU000310F11-S10000000000001020709</t>
  </si>
  <si>
    <t>2800108100010065</t>
  </si>
  <si>
    <t>0400023803</t>
  </si>
  <si>
    <t>Is.</t>
  </si>
  <si>
    <t>Pr. Elsz</t>
  </si>
  <si>
    <t>Pr.R</t>
  </si>
  <si>
    <t>HU000310F11-S10000000000001022527</t>
  </si>
  <si>
    <t>1101612155065067</t>
  </si>
  <si>
    <t>Dózsa György Szakgimnázium</t>
  </si>
  <si>
    <t>0400002287</t>
  </si>
  <si>
    <t>Kalocsa, Martinovics Ignác utca 2.</t>
  </si>
  <si>
    <t>HU000310F11-S10000000000001022466</t>
  </si>
  <si>
    <t>1601512050240086</t>
  </si>
  <si>
    <t>0400002236</t>
  </si>
  <si>
    <t>Kalocsa, Kossuth Lajos utca 39.</t>
  </si>
  <si>
    <t>HU000310F11-S10000000000001022000</t>
  </si>
  <si>
    <t>0400001816</t>
  </si>
  <si>
    <t>Kalocsa, Kunszt József utca 1.</t>
  </si>
  <si>
    <t>HU000310F11-S10000000000001007441</t>
  </si>
  <si>
    <t>0400001418</t>
  </si>
  <si>
    <t>2800212100005565</t>
  </si>
  <si>
    <t>Kalocsa, Asztrik tér 7.</t>
  </si>
  <si>
    <t>HU000310F11-S10000000000001026551</t>
  </si>
  <si>
    <t>0400001651</t>
  </si>
  <si>
    <t>Kalocsa, Kossuth Lajos utca 14.</t>
  </si>
  <si>
    <t>Kossuth Zsuzsanna Szakgimnázium</t>
  </si>
  <si>
    <t>HU000310F11-S10000000000001007598</t>
  </si>
  <si>
    <t>0400001786</t>
  </si>
  <si>
    <t>2800212100005428</t>
  </si>
  <si>
    <t>HU000310F11-S10000000000001005154</t>
  </si>
  <si>
    <t>1102215163174088</t>
  </si>
  <si>
    <t>0400013201</t>
  </si>
  <si>
    <t>HU000310F11-S10000000000001006907</t>
  </si>
  <si>
    <t>0400002599</t>
  </si>
  <si>
    <t>Kalocsa</t>
  </si>
  <si>
    <t>Város</t>
  </si>
  <si>
    <t>39N050479464000R</t>
  </si>
  <si>
    <t>Mérőszám:</t>
  </si>
  <si>
    <t>39N050484479000R</t>
  </si>
  <si>
    <t>Bányai Júlia Szakgimnázium</t>
  </si>
  <si>
    <r>
      <t>Mérő telj. (m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/h):</t>
    </r>
  </si>
  <si>
    <t>39N050760773000J</t>
  </si>
  <si>
    <t>Jelky András Szakgimnázium</t>
  </si>
  <si>
    <t>39N050760959000O</t>
  </si>
  <si>
    <t>39N050640235000M</t>
  </si>
  <si>
    <t>Kalocsa, Kunszt József u. 1.</t>
  </si>
  <si>
    <t>39N050640272000D</t>
  </si>
  <si>
    <t>39N050640609000T</t>
  </si>
  <si>
    <t>Kalocsa, Kossuth u. 39.</t>
  </si>
  <si>
    <t>39N050640653000T</t>
  </si>
  <si>
    <t>Kalocsa, Martinovics u. 2.</t>
  </si>
  <si>
    <t>39N050640914000R</t>
  </si>
  <si>
    <t>Összes hőköltség</t>
  </si>
  <si>
    <t>3. melléklet</t>
  </si>
  <si>
    <t>Bajai Szakképzési Centrum Havi hőenergia felhasználásai és költségei</t>
  </si>
  <si>
    <t>Jármű</t>
  </si>
  <si>
    <t>Üzemanyag felhasználás költsége Ft/hó</t>
  </si>
  <si>
    <t>Megtett távolság km/hó</t>
  </si>
  <si>
    <t>Benzin l/hó</t>
  </si>
  <si>
    <t>Átlag fogyasztás l/100 km</t>
  </si>
  <si>
    <t>Fajlagos üzemanyag ár Ft/l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</si>
  <si>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</si>
  <si>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</si>
  <si>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</si>
  <si>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</si>
  <si>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</si>
  <si>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</si>
  <si>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</si>
  <si>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</si>
  <si>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</si>
  <si>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</si>
  <si>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</si>
  <si>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</si>
  <si>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JHB-729</t>
  </si>
  <si>
    <t>4. melléklet</t>
  </si>
  <si>
    <t>LHN-668</t>
  </si>
  <si>
    <t>Dízel l/hó</t>
  </si>
  <si>
    <t>LCE-843</t>
  </si>
  <si>
    <t>LCH-246</t>
  </si>
  <si>
    <t>LJU-735</t>
  </si>
  <si>
    <t>KGW-222</t>
  </si>
  <si>
    <t>IMY-483</t>
  </si>
  <si>
    <t>5. melléklet</t>
  </si>
  <si>
    <t>Rendszám</t>
  </si>
  <si>
    <t>Gyártmány</t>
  </si>
  <si>
    <t>Teljesítmény kW</t>
  </si>
  <si>
    <t>Gyártási év</t>
  </si>
  <si>
    <t>Szállítható személyek száma</t>
  </si>
  <si>
    <t>Gépjármű</t>
  </si>
  <si>
    <t>Üzemanyag fajta</t>
  </si>
  <si>
    <t>Nissan Micra</t>
  </si>
  <si>
    <t>Benzin</t>
  </si>
  <si>
    <t>Skoda Superb</t>
  </si>
  <si>
    <t>Dízel</t>
  </si>
  <si>
    <t>Ford Transit platós</t>
  </si>
  <si>
    <t>Ford Transit kombi</t>
  </si>
  <si>
    <t>Opel Astra</t>
  </si>
  <si>
    <t>Renault Trafic</t>
  </si>
  <si>
    <r>
      <t>Henger űr cm</t>
    </r>
    <r>
      <rPr>
        <b/>
        <vertAlign val="superscript"/>
        <sz val="11"/>
        <color theme="1"/>
        <rFont val="Arial"/>
        <family val="2"/>
        <charset val="238"/>
      </rPr>
      <t>3</t>
    </r>
  </si>
  <si>
    <t>Bajai Szakképzési Centrum Éves üzemanyag felhasználása és bruttó költsége</t>
  </si>
  <si>
    <t>Megtett távolság km/év</t>
  </si>
  <si>
    <t>Hő felhasználás GJ/hó (mért)</t>
  </si>
  <si>
    <t>Hő felhasználás GJ/hó (szétosztott)</t>
  </si>
  <si>
    <t>Hő felhasználás GJ/hó (ráeső)</t>
  </si>
  <si>
    <t>Hő felhasználás összesen GJ/hó</t>
  </si>
  <si>
    <t>Hő (mért)</t>
  </si>
  <si>
    <t>Hő (ráeső)</t>
  </si>
  <si>
    <t>Teljesítmény költség</t>
  </si>
  <si>
    <t>Hőfelhasználás nettó költsége Ft/hó (ÁFA 5% nélkül)</t>
  </si>
  <si>
    <t>Fogyasztási hely</t>
  </si>
  <si>
    <t>Hő ár (mért)</t>
  </si>
  <si>
    <t>Fajlagos hő árak Ft/GJ</t>
  </si>
  <si>
    <t>Teljesítmény ár</t>
  </si>
  <si>
    <t>Hő ár (ráeső)</t>
  </si>
  <si>
    <t xml:space="preserve">Összes hő ár </t>
  </si>
  <si>
    <t>Mérő állás</t>
  </si>
  <si>
    <t>Induló</t>
  </si>
  <si>
    <t>Záró</t>
  </si>
  <si>
    <t>Különbözet</t>
  </si>
  <si>
    <t>Teljesít-mény kW</t>
  </si>
  <si>
    <t>Baja, Szenes u. 12-14.</t>
  </si>
  <si>
    <t>Fh. azonosító:</t>
  </si>
  <si>
    <t>U7325</t>
  </si>
  <si>
    <t>Mérő gyári szám:</t>
  </si>
  <si>
    <t>Felhasználási hely:</t>
  </si>
  <si>
    <t>Bajai SZC hő összesen</t>
  </si>
  <si>
    <t>Petőfi sziget 2.</t>
  </si>
  <si>
    <t>Szenes u. 12-14.</t>
  </si>
  <si>
    <t>1.c. melléklet</t>
  </si>
  <si>
    <t>Baja Szakképzési Centrum Kalocsai Havi földgáz felhasználásai és költségei 20 m3/h alatti helyek esetében</t>
  </si>
  <si>
    <t>Baja Szakképzési Centrum Kalocsai Havi földgáz felhasználásai és költségei 20 m3/h feletti helyek esetében</t>
  </si>
  <si>
    <t>Alapdíj költség</t>
  </si>
  <si>
    <t>Gázköltség I. árkat.</t>
  </si>
  <si>
    <t>Gázköltség II. árkat</t>
  </si>
  <si>
    <t>Gázköltség összesen</t>
  </si>
  <si>
    <t>Összes költség</t>
  </si>
  <si>
    <t>39N0506402920001</t>
  </si>
  <si>
    <t>I. árkat. MJ/hó</t>
  </si>
  <si>
    <t>II. árkat. MJ/hó</t>
  </si>
  <si>
    <t>Összesen MJ/hó</t>
  </si>
  <si>
    <t>I. árkat. Ft/MJ</t>
  </si>
  <si>
    <t>II. árkat. Ft/MJ</t>
  </si>
  <si>
    <t>Kalocsa, Mócsy J. u. 8.</t>
  </si>
  <si>
    <t>1.d. melléklet</t>
  </si>
  <si>
    <t>Baja Szakképzési Centrum Bajai Havi földgáz felhasználásai és költségei 20 m3/h alatti helyek esetében</t>
  </si>
  <si>
    <t>39N050816142000Y</t>
  </si>
  <si>
    <t>62011754704044, 27000035197597</t>
  </si>
  <si>
    <t>SC07000007586</t>
  </si>
  <si>
    <t>39N0506576080006</t>
  </si>
  <si>
    <t>Baja, Malom u. 15.</t>
  </si>
  <si>
    <t>39N050455439000X</t>
  </si>
  <si>
    <t>Baja, Vasvári Pál u. 8.</t>
  </si>
  <si>
    <t>Baja, Petőfi u. 3.</t>
  </si>
  <si>
    <t>33800000061295, 34800000026541</t>
  </si>
  <si>
    <t>39N050774425000J</t>
  </si>
  <si>
    <t>Mérő szám:</t>
  </si>
  <si>
    <t>Baja, Szent Antal u.  17.</t>
  </si>
  <si>
    <t>21850202, 377139, 386721</t>
  </si>
  <si>
    <t>39N0506778620005</t>
  </si>
  <si>
    <t>Kalocsa, Tomori P. u.  7.</t>
  </si>
  <si>
    <t>33800000312208, 40300009210704, 40300009900120</t>
  </si>
  <si>
    <t>Baja, 20 feletti összesen</t>
  </si>
  <si>
    <t>Baja 20 alatti összesen</t>
  </si>
  <si>
    <t>Kalocsa 20 feletti összesen</t>
  </si>
  <si>
    <t>Kalocsa 20 alatti összesen</t>
  </si>
  <si>
    <t>Rendszer használat összesen (teljesítmény, alap és forgalmi díjak</t>
  </si>
  <si>
    <r>
      <t>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/év</t>
    </r>
  </si>
  <si>
    <t>MJ/év</t>
  </si>
  <si>
    <t>Gázfelhasználás nettó költsége Ft/év</t>
  </si>
  <si>
    <t>Hőenergia MJ/év</t>
  </si>
  <si>
    <t>Lekötött villamos teljesít-mény kW (idősoros helyeken)</t>
  </si>
  <si>
    <t>Villamos energia felhasználás kWh/év</t>
  </si>
  <si>
    <t>Villamos energia felhasználás nettó költsége Ft/év</t>
  </si>
  <si>
    <t>Meddő energia  felhasználás kVArh/év</t>
  </si>
  <si>
    <t>I. árkat. MJ/év</t>
  </si>
  <si>
    <t>II. árkat. MJ/év</t>
  </si>
  <si>
    <t>Összesen MJ/év</t>
  </si>
  <si>
    <t>Hő felhasználás GJ/év (szétosztott)</t>
  </si>
  <si>
    <t>Hő felhasználás GJ/év (mért)</t>
  </si>
  <si>
    <t>Hő felhasználás GJ/év (ráeső)</t>
  </si>
  <si>
    <t>Hő felhasználás összesen GJ/év</t>
  </si>
  <si>
    <t>Hőfelhasználás nettó költsége Ft/év (ÁFA 5% nélkül)</t>
  </si>
  <si>
    <t>Üzemanyag felhasználás l/év</t>
  </si>
  <si>
    <t>Fajlagos futás ár Ft/km</t>
  </si>
  <si>
    <t>Üzemanyag dízel l/év</t>
  </si>
  <si>
    <t>Üzemanyag benzin l/év</t>
  </si>
  <si>
    <t>Hő MJ/év</t>
  </si>
  <si>
    <t>Város és fogyasztói besorolás</t>
  </si>
  <si>
    <r>
      <t>Baja 20 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/h alattiak</t>
    </r>
  </si>
  <si>
    <r>
      <t>Baja 20 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/h felettiek</t>
    </r>
  </si>
  <si>
    <r>
      <t>Kalocsa 20 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/h alattiak</t>
    </r>
  </si>
  <si>
    <r>
      <t>Kalocsa 20 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/h felettiek</t>
    </r>
  </si>
  <si>
    <t>A költségek nettó értékben lettek kimutatva, nem tartalmazzák a 27 %-os ÁFÁ-t.</t>
  </si>
  <si>
    <t>A költségek nettó értékben lettek kimutatva, nem tartalmazzák az 5 %-os ÁFÁ-t.</t>
  </si>
  <si>
    <t>A költségek bruttó értékben lettek kimutatva és tartalmazzák a 27 %-os ÁFÁ-t.</t>
  </si>
  <si>
    <t>Üzemanyag felhasználás bruttó költsége Ft/év</t>
  </si>
  <si>
    <t>Mindösszesen</t>
  </si>
  <si>
    <t>Baja 20 m3/h feletti</t>
  </si>
  <si>
    <t>Kalocsa 20 m3/h feletti</t>
  </si>
  <si>
    <t>Kalocsa 20 m3/h alatti</t>
  </si>
  <si>
    <t>Baja 20 m3/h alatti</t>
  </si>
  <si>
    <t>Összes gázköltség Ft/hó</t>
  </si>
  <si>
    <r>
      <t>Korrigált gázfelhaszná-lás 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/hó</t>
    </r>
  </si>
  <si>
    <t>Baja Villamos energia összesen</t>
  </si>
  <si>
    <t>Kalocsa Villamos energia összesen</t>
  </si>
  <si>
    <t>.</t>
  </si>
  <si>
    <t>Villamos energia felhaszná-lás kWh/hó</t>
  </si>
  <si>
    <t>Centrum villamos energia összesen</t>
  </si>
  <si>
    <t>Baja, Szegedi út 69-73.</t>
  </si>
  <si>
    <t>R12</t>
  </si>
  <si>
    <t xml:space="preserve">Kalocsa, Kunszt József utca </t>
  </si>
  <si>
    <t>Fogyasztó neve</t>
  </si>
  <si>
    <t>Fogyasztási hely címe</t>
  </si>
  <si>
    <t>Földgáz</t>
  </si>
  <si>
    <t>Mennyiség m3/év</t>
  </si>
  <si>
    <t>Költség nettó Ft/év</t>
  </si>
  <si>
    <t>Átlag ár Ft/m3</t>
  </si>
  <si>
    <t>Villamos energia</t>
  </si>
  <si>
    <t>Mennyiség kWh/év</t>
  </si>
  <si>
    <t>Átlag ár Ft/kWh</t>
  </si>
  <si>
    <t>Hő energia</t>
  </si>
  <si>
    <t>Mennyiség GJ/év</t>
  </si>
  <si>
    <t>Átlag ár Ft/GJ</t>
  </si>
  <si>
    <t>Összes költség nettó Ft/év</t>
  </si>
  <si>
    <t>Baja, Szegedi u. 69-71.</t>
  </si>
  <si>
    <t>Baja, Szent Antal u. 17.</t>
  </si>
  <si>
    <t>Kalocsa, Kunszt J. u. 1.</t>
  </si>
  <si>
    <t>Kalocs, Kossuth u. 39.</t>
  </si>
  <si>
    <t>Kalocsa, Kossuth u. 14.</t>
  </si>
  <si>
    <t>Kalocsa, Tomori P. 7.</t>
  </si>
  <si>
    <t>Baja, Szenes u. 12.</t>
  </si>
  <si>
    <t>Jelky András összesen</t>
  </si>
  <si>
    <t>Türr István összesen</t>
  </si>
  <si>
    <t>Bányai Júlia összesen</t>
  </si>
  <si>
    <t>Radnóti Miklós összesen</t>
  </si>
  <si>
    <t>Dózsa György összesen</t>
  </si>
  <si>
    <t>Kossuth Zsuzsanna összesen</t>
  </si>
  <si>
    <t>Kalocsa, Kunszt J. u.</t>
  </si>
  <si>
    <t>Kalocsa, Mócsy János utca 1x. (Martinovics I. u. 13-1.)</t>
  </si>
  <si>
    <t>Jövedéki adó költség</t>
  </si>
  <si>
    <t>Baja, Petőfi Sándor utca 3.</t>
  </si>
  <si>
    <t xml:space="preserve"> l/hó</t>
  </si>
  <si>
    <t>Üzemanyag felhasználás nettó költsége Ft/hó</t>
  </si>
  <si>
    <r>
      <t>ÜHG kibocsátás CO</t>
    </r>
    <r>
      <rPr>
        <b/>
        <vertAlign val="subscript"/>
        <sz val="11"/>
        <color theme="1"/>
        <rFont val="Times New Roman"/>
        <family val="1"/>
        <charset val="238"/>
      </rPr>
      <t>2</t>
    </r>
    <r>
      <rPr>
        <b/>
        <sz val="11"/>
        <color theme="1"/>
        <rFont val="Times New Roman"/>
        <family val="1"/>
        <charset val="238"/>
      </rPr>
      <t xml:space="preserve"> ezer t/év</t>
    </r>
  </si>
  <si>
    <t>MÉF</t>
  </si>
  <si>
    <t>Centrum földgáz összesen 2018</t>
  </si>
  <si>
    <t>Jövedéki adó</t>
  </si>
  <si>
    <t>bruttó</t>
  </si>
  <si>
    <t>RGK-278</t>
  </si>
  <si>
    <t xml:space="preserve">Kossuth Zsuzsanna Szakgimnázium </t>
  </si>
  <si>
    <t>Módosított</t>
  </si>
  <si>
    <t>Felhasználás költsége nettó Ft/év</t>
  </si>
  <si>
    <t>KIF3</t>
  </si>
  <si>
    <t>Hő felhasználás GJ/hó (HMV)</t>
  </si>
  <si>
    <t>Hő (HMV)</t>
  </si>
  <si>
    <t>Hő ár (HMV)</t>
  </si>
  <si>
    <t>81 okt</t>
  </si>
  <si>
    <t>48 okt</t>
  </si>
  <si>
    <t>Opel Vivaro-B</t>
  </si>
  <si>
    <t xml:space="preserve">Bajai Szakképzési Centrum gépjármű állománya </t>
  </si>
  <si>
    <t>Türr István Gazdasági Technikum</t>
  </si>
  <si>
    <t>Jelky András Technikum</t>
  </si>
  <si>
    <t>Bányai Júlia Technikum</t>
  </si>
  <si>
    <t>Dózsa György Technikum</t>
  </si>
  <si>
    <t>Dózsa György (Kossuth Zsuzsanna) Technikum</t>
  </si>
  <si>
    <t>Kossuth Zsuzsanna Technikum</t>
  </si>
  <si>
    <t>2021. január</t>
  </si>
  <si>
    <t>Elszámolási időszak 2021</t>
  </si>
  <si>
    <t>Elsz.</t>
  </si>
  <si>
    <t>E</t>
  </si>
  <si>
    <t>R</t>
  </si>
  <si>
    <t>2021. február</t>
  </si>
  <si>
    <t>2021. március</t>
  </si>
  <si>
    <t>2021. április</t>
  </si>
  <si>
    <t>2021. május</t>
  </si>
  <si>
    <t>2021. június</t>
  </si>
  <si>
    <t>2021. július</t>
  </si>
  <si>
    <t>KÖF/KIF3</t>
  </si>
  <si>
    <t>1301013100009650</t>
  </si>
  <si>
    <t>Kalocsa, Tomori Pál utca 10.</t>
  </si>
  <si>
    <t>3400317093162095</t>
  </si>
  <si>
    <t>3500120000156176</t>
  </si>
  <si>
    <t>1402105500922413</t>
  </si>
  <si>
    <t>3100617122971080</t>
  </si>
  <si>
    <t>3100618123788750</t>
  </si>
  <si>
    <t>3400215090559468</t>
  </si>
  <si>
    <t>2021. augusztus</t>
  </si>
  <si>
    <t>Óracsere?</t>
  </si>
  <si>
    <t>2021. szeptember</t>
  </si>
  <si>
    <t>Teljesítmény, alapdíj költség+KB</t>
  </si>
  <si>
    <t>838 kWh/h</t>
  </si>
  <si>
    <t>Jövedéki adó költség+KB</t>
  </si>
  <si>
    <t>672 kWh/h</t>
  </si>
  <si>
    <t>258 kWh/h</t>
  </si>
  <si>
    <t>674 kWh/h</t>
  </si>
  <si>
    <t>2021. október</t>
  </si>
  <si>
    <t>Jövedéki adó költség+EKR</t>
  </si>
  <si>
    <t>2021. november</t>
  </si>
  <si>
    <t>ME</t>
  </si>
  <si>
    <t>2021. december</t>
  </si>
  <si>
    <t>Elme</t>
  </si>
  <si>
    <t>Energiahatékonysági Szolgáltatási Szerződés 144 hónapra a Bajai Szakképzési Centrum 4 tagintézménye (12 telephely) világításkorszerűsítésére</t>
  </si>
  <si>
    <t>nem</t>
  </si>
  <si>
    <t>épület</t>
  </si>
  <si>
    <t>Intézkedés költsége nettó eFt/év</t>
  </si>
  <si>
    <t>Teljesítmény csökkenés előtéttel együtt kW</t>
  </si>
  <si>
    <t>Teljesítmény csökkenés előtét nélkül kW</t>
  </si>
  <si>
    <t>Üzemóra h/év</t>
  </si>
  <si>
    <t>Energia megtakaírtás előtéttel kWh/év</t>
  </si>
  <si>
    <t>Energia megtakaírtás előtét nélkül kWh/év</t>
  </si>
  <si>
    <t>Elért energiaköltség megtakarítás  intézkedésenként nettó eFt/év</t>
  </si>
  <si>
    <t>Intézkedés várható egyszerű megérülési ideje év</t>
  </si>
  <si>
    <t>Energiahatékonyság-növelő intézkedés (beruházással járó)</t>
  </si>
  <si>
    <t>Intézkedés megnevezése</t>
  </si>
  <si>
    <t>Intézkedés befejezésének ideje</t>
  </si>
  <si>
    <t>Energiamegtakarítás tervezett mértéke</t>
  </si>
  <si>
    <t xml:space="preserve">Szemléletformálási tevékenység </t>
  </si>
  <si>
    <t>Bajai Szakképzési Centrum energiahatékonyság-növelés 2021</t>
  </si>
  <si>
    <t>Bajai Szakképzési Centrum 4 tagintézménye (12 telephely) világításkorszerűsítése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</si>
</sst>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000"/>
    <numFmt numFmtId="166" formatCode="#,##0.000"/>
    <numFmt numFmtId="167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 diagonalDown="1"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 diagonalDown="1"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double">
        <color auto="1"/>
      </left>
      <right style="double">
        <color auto="1"/>
      </right>
      <top style="thin">
        <color auto="1"/>
      </top>
      <bottom/>
      <diagonal style="thin">
        <color auto="1"/>
      </diagonal>
    </border>
    <border diagonalDown="1"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double">
        <color auto="1"/>
      </left>
      <right style="double">
        <color auto="1"/>
      </right>
      <top style="double">
        <color auto="1"/>
      </top>
      <bottom/>
      <diagonal style="thin">
        <color auto="1"/>
      </diagonal>
    </border>
    <border diagonalDown="1">
      <left style="double">
        <color auto="1"/>
      </left>
      <right style="double">
        <color auto="1"/>
      </right>
      <top/>
      <bottom style="thin">
        <color auto="1"/>
      </bottom>
      <diagonal style="thin">
        <color auto="1"/>
      </diagonal>
    </border>
    <border>
      <left style="double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right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14" fontId="5" fillId="0" borderId="2" xfId="0" applyNumberFormat="1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3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/>
    <xf numFmtId="3" fontId="5" fillId="0" borderId="0" xfId="0" applyNumberFormat="1" applyFont="1"/>
    <xf numFmtId="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0" borderId="0" xfId="0" applyNumberFormat="1" applyFont="1"/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/>
    <xf numFmtId="0" fontId="5" fillId="0" borderId="0" xfId="0" applyFont="1" applyAlignment="1">
      <alignment horizontal="center" vertical="center" wrapText="1"/>
    </xf>
    <xf numFmtId="14" fontId="5" fillId="0" borderId="16" xfId="0" applyNumberFormat="1" applyFont="1" applyBorder="1" applyAlignment="1">
      <alignment wrapText="1"/>
    </xf>
    <xf numFmtId="14" fontId="5" fillId="0" borderId="18" xfId="0" applyNumberFormat="1" applyFont="1" applyBorder="1" applyAlignment="1">
      <alignment wrapText="1"/>
    </xf>
    <xf numFmtId="0" fontId="5" fillId="7" borderId="4" xfId="0" applyFont="1" applyFill="1" applyBorder="1" applyAlignment="1">
      <alignment wrapText="1"/>
    </xf>
    <xf numFmtId="14" fontId="5" fillId="7" borderId="21" xfId="0" applyNumberFormat="1" applyFont="1" applyFill="1" applyBorder="1" applyAlignment="1">
      <alignment wrapText="1"/>
    </xf>
    <xf numFmtId="14" fontId="5" fillId="7" borderId="23" xfId="0" applyNumberFormat="1" applyFont="1" applyFill="1" applyBorder="1" applyAlignment="1">
      <alignment wrapText="1"/>
    </xf>
    <xf numFmtId="3" fontId="5" fillId="7" borderId="4" xfId="0" applyNumberFormat="1" applyFont="1" applyFill="1" applyBorder="1" applyAlignment="1">
      <alignment wrapText="1"/>
    </xf>
    <xf numFmtId="4" fontId="5" fillId="7" borderId="4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4" fontId="5" fillId="0" borderId="24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5" fillId="0" borderId="2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3" fontId="5" fillId="0" borderId="11" xfId="0" applyNumberFormat="1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3" fontId="5" fillId="0" borderId="20" xfId="0" applyNumberFormat="1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5" fillId="0" borderId="11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5" fillId="0" borderId="20" xfId="0" applyNumberFormat="1" applyFont="1" applyBorder="1" applyAlignment="1">
      <alignment wrapText="1"/>
    </xf>
    <xf numFmtId="164" fontId="4" fillId="3" borderId="1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Border="1" applyAlignment="1">
      <alignment wrapText="1"/>
    </xf>
    <xf numFmtId="4" fontId="5" fillId="0" borderId="20" xfId="0" applyNumberFormat="1" applyFont="1" applyBorder="1" applyAlignment="1">
      <alignment wrapText="1"/>
    </xf>
    <xf numFmtId="3" fontId="5" fillId="0" borderId="9" xfId="0" applyNumberFormat="1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center" wrapText="1"/>
    </xf>
    <xf numFmtId="3" fontId="5" fillId="0" borderId="20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wrapText="1"/>
    </xf>
    <xf numFmtId="1" fontId="5" fillId="0" borderId="3" xfId="0" applyNumberFormat="1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2" borderId="2" xfId="0" applyNumberFormat="1" applyFont="1" applyFill="1" applyBorder="1" applyAlignment="1">
      <alignment wrapText="1"/>
    </xf>
    <xf numFmtId="3" fontId="5" fillId="2" borderId="3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 wrapText="1"/>
    </xf>
    <xf numFmtId="3" fontId="5" fillId="0" borderId="20" xfId="0" applyNumberFormat="1" applyFont="1" applyFill="1" applyBorder="1" applyAlignment="1">
      <alignment vertical="center" wrapText="1"/>
    </xf>
    <xf numFmtId="14" fontId="5" fillId="7" borderId="18" xfId="0" applyNumberFormat="1" applyFont="1" applyFill="1" applyBorder="1" applyAlignment="1">
      <alignment wrapText="1"/>
    </xf>
    <xf numFmtId="14" fontId="5" fillId="7" borderId="3" xfId="0" applyNumberFormat="1" applyFont="1" applyFill="1" applyBorder="1" applyAlignment="1">
      <alignment wrapText="1"/>
    </xf>
    <xf numFmtId="14" fontId="5" fillId="0" borderId="18" xfId="0" applyNumberFormat="1" applyFont="1" applyFill="1" applyBorder="1" applyAlignment="1">
      <alignment wrapText="1"/>
    </xf>
    <xf numFmtId="14" fontId="5" fillId="0" borderId="3" xfId="0" applyNumberFormat="1" applyFont="1" applyFill="1" applyBorder="1" applyAlignment="1">
      <alignment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20" xfId="0" applyNumberFormat="1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wrapText="1"/>
    </xf>
    <xf numFmtId="4" fontId="5" fillId="7" borderId="3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0" borderId="25" xfId="0" applyNumberFormat="1" applyFont="1" applyBorder="1" applyAlignment="1">
      <alignment wrapText="1"/>
    </xf>
    <xf numFmtId="166" fontId="5" fillId="0" borderId="2" xfId="0" applyNumberFormat="1" applyFont="1" applyBorder="1" applyAlignment="1">
      <alignment wrapText="1"/>
    </xf>
    <xf numFmtId="166" fontId="5" fillId="0" borderId="3" xfId="0" applyNumberFormat="1" applyFont="1" applyBorder="1" applyAlignment="1">
      <alignment wrapText="1"/>
    </xf>
    <xf numFmtId="166" fontId="4" fillId="3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 applyAlignment="1">
      <alignment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3" fontId="5" fillId="8" borderId="4" xfId="0" applyNumberFormat="1" applyFont="1" applyFill="1" applyBorder="1" applyAlignment="1">
      <alignment wrapText="1"/>
    </xf>
    <xf numFmtId="3" fontId="5" fillId="8" borderId="3" xfId="0" applyNumberFormat="1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14" fontId="5" fillId="5" borderId="21" xfId="0" applyNumberFormat="1" applyFont="1" applyFill="1" applyBorder="1" applyAlignment="1">
      <alignment horizontal="center" vertical="center" wrapText="1"/>
    </xf>
    <xf numFmtId="14" fontId="5" fillId="5" borderId="23" xfId="0" applyNumberFormat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2" fillId="3" borderId="1" xfId="0" applyNumberFormat="1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3" fontId="5" fillId="2" borderId="25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vertical="center" wrapText="1"/>
    </xf>
    <xf numFmtId="3" fontId="4" fillId="2" borderId="20" xfId="0" applyNumberFormat="1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3" fontId="5" fillId="9" borderId="2" xfId="0" applyNumberFormat="1" applyFont="1" applyFill="1" applyBorder="1" applyAlignment="1">
      <alignment wrapText="1"/>
    </xf>
    <xf numFmtId="3" fontId="5" fillId="9" borderId="3" xfId="0" applyNumberFormat="1" applyFont="1" applyFill="1" applyBorder="1" applyAlignment="1">
      <alignment wrapText="1"/>
    </xf>
    <xf numFmtId="3" fontId="5" fillId="9" borderId="4" xfId="0" applyNumberFormat="1" applyFont="1" applyFill="1" applyBorder="1" applyAlignment="1">
      <alignment wrapText="1"/>
    </xf>
    <xf numFmtId="0" fontId="4" fillId="9" borderId="10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wrapText="1"/>
    </xf>
    <xf numFmtId="0" fontId="5" fillId="9" borderId="11" xfId="0" applyFont="1" applyFill="1" applyBorder="1" applyAlignment="1">
      <alignment wrapText="1"/>
    </xf>
    <xf numFmtId="3" fontId="5" fillId="9" borderId="11" xfId="0" applyNumberFormat="1" applyFont="1" applyFill="1" applyBorder="1" applyAlignment="1">
      <alignment wrapText="1"/>
    </xf>
    <xf numFmtId="3" fontId="5" fillId="9" borderId="9" xfId="0" applyNumberFormat="1" applyFont="1" applyFill="1" applyBorder="1" applyAlignment="1">
      <alignment horizontal="center" wrapText="1"/>
    </xf>
    <xf numFmtId="3" fontId="5" fillId="9" borderId="3" xfId="0" applyNumberFormat="1" applyFont="1" applyFill="1" applyBorder="1" applyAlignment="1">
      <alignment horizontal="center" wrapText="1"/>
    </xf>
    <xf numFmtId="3" fontId="5" fillId="0" borderId="9" xfId="0" applyNumberFormat="1" applyFont="1" applyFill="1" applyBorder="1" applyAlignment="1">
      <alignment horizontal="center" wrapText="1"/>
    </xf>
    <xf numFmtId="3" fontId="5" fillId="0" borderId="3" xfId="0" applyNumberFormat="1" applyFont="1" applyFill="1" applyBorder="1" applyAlignment="1">
      <alignment horizontal="center" wrapText="1"/>
    </xf>
    <xf numFmtId="3" fontId="5" fillId="9" borderId="20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25" xfId="0" applyBorder="1"/>
    <xf numFmtId="3" fontId="0" fillId="0" borderId="25" xfId="0" applyNumberFormat="1" applyBorder="1"/>
    <xf numFmtId="164" fontId="0" fillId="0" borderId="25" xfId="0" applyNumberFormat="1" applyBorder="1"/>
    <xf numFmtId="0" fontId="0" fillId="0" borderId="11" xfId="0" applyBorder="1"/>
    <xf numFmtId="3" fontId="0" fillId="0" borderId="11" xfId="0" applyNumberFormat="1" applyBorder="1"/>
    <xf numFmtId="164" fontId="0" fillId="0" borderId="11" xfId="0" applyNumberFormat="1" applyBorder="1"/>
    <xf numFmtId="0" fontId="0" fillId="0" borderId="1" xfId="0" applyBorder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3" fontId="8" fillId="0" borderId="1" xfId="0" applyNumberFormat="1" applyFont="1" applyBorder="1"/>
    <xf numFmtId="164" fontId="8" fillId="0" borderId="1" xfId="0" applyNumberFormat="1" applyFont="1" applyBorder="1"/>
    <xf numFmtId="164" fontId="0" fillId="0" borderId="4" xfId="0" applyNumberFormat="1" applyBorder="1"/>
    <xf numFmtId="164" fontId="0" fillId="0" borderId="1" xfId="0" applyNumberFormat="1" applyBorder="1"/>
    <xf numFmtId="3" fontId="0" fillId="0" borderId="0" xfId="0" applyNumberFormat="1"/>
    <xf numFmtId="3" fontId="7" fillId="0" borderId="1" xfId="0" applyNumberFormat="1" applyFont="1" applyBorder="1"/>
    <xf numFmtId="16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" fontId="0" fillId="0" borderId="1" xfId="0" applyNumberFormat="1" applyBorder="1"/>
    <xf numFmtId="3" fontId="0" fillId="0" borderId="27" xfId="0" applyNumberFormat="1" applyBorder="1"/>
    <xf numFmtId="164" fontId="0" fillId="0" borderId="27" xfId="0" applyNumberFormat="1" applyBorder="1"/>
    <xf numFmtId="3" fontId="0" fillId="0" borderId="28" xfId="0" applyNumberFormat="1" applyBorder="1"/>
    <xf numFmtId="164" fontId="0" fillId="0" borderId="28" xfId="0" applyNumberFormat="1" applyBorder="1"/>
    <xf numFmtId="3" fontId="8" fillId="0" borderId="26" xfId="0" applyNumberFormat="1" applyFont="1" applyBorder="1"/>
    <xf numFmtId="164" fontId="8" fillId="0" borderId="26" xfId="0" applyNumberFormat="1" applyFont="1" applyBorder="1"/>
    <xf numFmtId="0" fontId="0" fillId="0" borderId="27" xfId="0" applyBorder="1"/>
    <xf numFmtId="0" fontId="0" fillId="0" borderId="29" xfId="0" applyBorder="1"/>
    <xf numFmtId="164" fontId="0" fillId="0" borderId="29" xfId="0" applyNumberFormat="1" applyBorder="1"/>
    <xf numFmtId="0" fontId="0" fillId="0" borderId="30" xfId="0" applyBorder="1"/>
    <xf numFmtId="0" fontId="0" fillId="0" borderId="26" xfId="0" applyBorder="1"/>
    <xf numFmtId="0" fontId="0" fillId="0" borderId="31" xfId="0" applyBorder="1"/>
    <xf numFmtId="0" fontId="0" fillId="0" borderId="28" xfId="0" applyBorder="1"/>
    <xf numFmtId="0" fontId="8" fillId="0" borderId="26" xfId="0" applyFont="1" applyBorder="1"/>
    <xf numFmtId="0" fontId="0" fillId="6" borderId="29" xfId="0" applyFill="1" applyBorder="1"/>
    <xf numFmtId="164" fontId="0" fillId="6" borderId="29" xfId="0" applyNumberFormat="1" applyFill="1" applyBorder="1"/>
    <xf numFmtId="0" fontId="0" fillId="6" borderId="27" xfId="0" applyFill="1" applyBorder="1"/>
    <xf numFmtId="164" fontId="0" fillId="6" borderId="27" xfId="0" applyNumberFormat="1" applyFill="1" applyBorder="1"/>
    <xf numFmtId="3" fontId="0" fillId="0" borderId="29" xfId="0" applyNumberFormat="1" applyBorder="1"/>
    <xf numFmtId="2" fontId="5" fillId="0" borderId="3" xfId="0" applyNumberFormat="1" applyFont="1" applyBorder="1" applyAlignment="1">
      <alignment wrapText="1"/>
    </xf>
    <xf numFmtId="0" fontId="5" fillId="10" borderId="2" xfId="0" applyFont="1" applyFill="1" applyBorder="1" applyAlignment="1">
      <alignment wrapText="1"/>
    </xf>
    <xf numFmtId="14" fontId="5" fillId="10" borderId="2" xfId="0" applyNumberFormat="1" applyFont="1" applyFill="1" applyBorder="1" applyAlignment="1">
      <alignment wrapText="1"/>
    </xf>
    <xf numFmtId="3" fontId="5" fillId="10" borderId="4" xfId="0" applyNumberFormat="1" applyFont="1" applyFill="1" applyBorder="1" applyAlignment="1">
      <alignment wrapText="1"/>
    </xf>
    <xf numFmtId="0" fontId="5" fillId="10" borderId="4" xfId="0" applyFont="1" applyFill="1" applyBorder="1" applyAlignment="1">
      <alignment wrapText="1"/>
    </xf>
    <xf numFmtId="14" fontId="5" fillId="10" borderId="21" xfId="0" applyNumberFormat="1" applyFont="1" applyFill="1" applyBorder="1" applyAlignment="1">
      <alignment wrapText="1"/>
    </xf>
    <xf numFmtId="14" fontId="5" fillId="10" borderId="23" xfId="0" applyNumberFormat="1" applyFont="1" applyFill="1" applyBorder="1" applyAlignment="1">
      <alignment wrapText="1"/>
    </xf>
    <xf numFmtId="4" fontId="5" fillId="10" borderId="4" xfId="0" applyNumberFormat="1" applyFont="1" applyFill="1" applyBorder="1" applyAlignment="1">
      <alignment wrapText="1"/>
    </xf>
    <xf numFmtId="3" fontId="5" fillId="0" borderId="2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3" fontId="5" fillId="0" borderId="25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166" fontId="5" fillId="0" borderId="2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wrapText="1"/>
    </xf>
    <xf numFmtId="2" fontId="5" fillId="0" borderId="3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4" fontId="5" fillId="0" borderId="16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wrapText="1"/>
    </xf>
    <xf numFmtId="14" fontId="9" fillId="0" borderId="18" xfId="0" applyNumberFormat="1" applyFont="1" applyFill="1" applyBorder="1" applyAlignment="1">
      <alignment wrapText="1"/>
    </xf>
    <xf numFmtId="14" fontId="9" fillId="0" borderId="3" xfId="0" applyNumberFormat="1" applyFont="1" applyFill="1" applyBorder="1" applyAlignment="1">
      <alignment wrapText="1"/>
    </xf>
    <xf numFmtId="3" fontId="9" fillId="0" borderId="3" xfId="0" applyNumberFormat="1" applyFont="1" applyFill="1" applyBorder="1" applyAlignment="1">
      <alignment wrapText="1"/>
    </xf>
    <xf numFmtId="4" fontId="9" fillId="0" borderId="3" xfId="0" applyNumberFormat="1" applyFont="1" applyFill="1" applyBorder="1" applyAlignment="1">
      <alignment wrapText="1"/>
    </xf>
    <xf numFmtId="3" fontId="9" fillId="2" borderId="3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4" borderId="0" xfId="0" applyFont="1" applyFill="1"/>
    <xf numFmtId="2" fontId="5" fillId="0" borderId="2" xfId="0" applyNumberFormat="1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3" fontId="9" fillId="0" borderId="3" xfId="0" applyNumberFormat="1" applyFont="1" applyBorder="1" applyAlignment="1">
      <alignment wrapText="1"/>
    </xf>
    <xf numFmtId="167" fontId="2" fillId="3" borderId="1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/>
    <xf numFmtId="0" fontId="5" fillId="0" borderId="11" xfId="0" applyFont="1" applyBorder="1" applyAlignment="1">
      <alignment horizontal="center" vertical="center" textRotation="90" wrapText="1"/>
    </xf>
    <xf numFmtId="2" fontId="5" fillId="0" borderId="2" xfId="0" applyNumberFormat="1" applyFont="1" applyBorder="1" applyAlignment="1">
      <alignment vertical="center" wrapText="1"/>
    </xf>
    <xf numFmtId="3" fontId="5" fillId="9" borderId="2" xfId="0" applyNumberFormat="1" applyFont="1" applyFill="1" applyBorder="1" applyAlignment="1">
      <alignment vertical="center" wrapText="1"/>
    </xf>
    <xf numFmtId="3" fontId="5" fillId="0" borderId="25" xfId="0" applyNumberFormat="1" applyFont="1" applyBorder="1" applyAlignment="1">
      <alignment vertical="center" wrapText="1"/>
    </xf>
    <xf numFmtId="166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4" fontId="5" fillId="0" borderId="3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3" fontId="5" fillId="9" borderId="3" xfId="0" applyNumberFormat="1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166" fontId="5" fillId="0" borderId="3" xfId="0" applyNumberFormat="1" applyFont="1" applyBorder="1" applyAlignment="1">
      <alignment vertical="center" wrapText="1"/>
    </xf>
    <xf numFmtId="0" fontId="5" fillId="8" borderId="3" xfId="0" applyFont="1" applyFill="1" applyBorder="1" applyAlignment="1">
      <alignment wrapText="1"/>
    </xf>
    <xf numFmtId="14" fontId="5" fillId="8" borderId="18" xfId="0" applyNumberFormat="1" applyFont="1" applyFill="1" applyBorder="1" applyAlignment="1">
      <alignment wrapText="1"/>
    </xf>
    <xf numFmtId="14" fontId="5" fillId="8" borderId="3" xfId="0" applyNumberFormat="1" applyFont="1" applyFill="1" applyBorder="1" applyAlignment="1">
      <alignment wrapText="1"/>
    </xf>
    <xf numFmtId="4" fontId="5" fillId="8" borderId="3" xfId="0" applyNumberFormat="1" applyFont="1" applyFill="1" applyBorder="1" applyAlignment="1">
      <alignment wrapText="1"/>
    </xf>
    <xf numFmtId="3" fontId="11" fillId="0" borderId="13" xfId="0" applyNumberFormat="1" applyFont="1" applyFill="1" applyBorder="1" applyAlignment="1">
      <alignment horizontal="center" vertical="center" wrapText="1"/>
    </xf>
    <xf numFmtId="14" fontId="5" fillId="0" borderId="32" xfId="0" applyNumberFormat="1" applyFont="1" applyFill="1" applyBorder="1" applyAlignment="1">
      <alignment wrapText="1"/>
    </xf>
    <xf numFmtId="14" fontId="5" fillId="0" borderId="4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14" fontId="5" fillId="0" borderId="32" xfId="0" applyNumberFormat="1" applyFont="1" applyBorder="1" applyAlignment="1">
      <alignment wrapText="1"/>
    </xf>
    <xf numFmtId="14" fontId="5" fillId="0" borderId="4" xfId="0" applyNumberFormat="1" applyFont="1" applyBorder="1" applyAlignment="1">
      <alignment wrapText="1"/>
    </xf>
    <xf numFmtId="14" fontId="9" fillId="0" borderId="32" xfId="0" applyNumberFormat="1" applyFont="1" applyFill="1" applyBorder="1" applyAlignment="1">
      <alignment wrapText="1"/>
    </xf>
    <xf numFmtId="14" fontId="9" fillId="0" borderId="4" xfId="0" applyNumberFormat="1" applyFont="1" applyFill="1" applyBorder="1" applyAlignment="1">
      <alignment wrapText="1"/>
    </xf>
    <xf numFmtId="3" fontId="9" fillId="0" borderId="4" xfId="0" applyNumberFormat="1" applyFont="1" applyFill="1" applyBorder="1" applyAlignment="1">
      <alignment wrapText="1"/>
    </xf>
    <xf numFmtId="3" fontId="9" fillId="2" borderId="4" xfId="0" applyNumberFormat="1" applyFont="1" applyFill="1" applyBorder="1" applyAlignment="1">
      <alignment wrapText="1"/>
    </xf>
    <xf numFmtId="4" fontId="9" fillId="0" borderId="4" xfId="0" applyNumberFormat="1" applyFont="1" applyFill="1" applyBorder="1" applyAlignment="1">
      <alignment wrapText="1"/>
    </xf>
    <xf numFmtId="0" fontId="9" fillId="6" borderId="0" xfId="0" applyFont="1" applyFill="1" applyAlignment="1">
      <alignment horizontal="center"/>
    </xf>
    <xf numFmtId="2" fontId="5" fillId="0" borderId="2" xfId="0" applyNumberFormat="1" applyFont="1" applyFill="1" applyBorder="1" applyAlignment="1">
      <alignment wrapText="1"/>
    </xf>
    <xf numFmtId="0" fontId="5" fillId="10" borderId="3" xfId="0" applyFont="1" applyFill="1" applyBorder="1" applyAlignment="1">
      <alignment wrapText="1"/>
    </xf>
    <xf numFmtId="14" fontId="5" fillId="10" borderId="3" xfId="0" applyNumberFormat="1" applyFont="1" applyFill="1" applyBorder="1" applyAlignment="1">
      <alignment wrapText="1"/>
    </xf>
    <xf numFmtId="0" fontId="5" fillId="6" borderId="3" xfId="0" applyFont="1" applyFill="1" applyBorder="1" applyAlignment="1">
      <alignment wrapText="1"/>
    </xf>
    <xf numFmtId="0" fontId="5" fillId="6" borderId="0" xfId="0" applyFont="1" applyFill="1"/>
    <xf numFmtId="4" fontId="5" fillId="0" borderId="13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 wrapText="1"/>
    </xf>
    <xf numFmtId="14" fontId="5" fillId="10" borderId="32" xfId="0" applyNumberFormat="1" applyFont="1" applyFill="1" applyBorder="1" applyAlignment="1">
      <alignment wrapText="1"/>
    </xf>
    <xf numFmtId="14" fontId="5" fillId="10" borderId="4" xfId="0" applyNumberFormat="1" applyFont="1" applyFill="1" applyBorder="1" applyAlignment="1">
      <alignment wrapText="1"/>
    </xf>
    <xf numFmtId="4" fontId="5" fillId="10" borderId="3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3" fontId="2" fillId="5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left" wrapText="1"/>
    </xf>
    <xf numFmtId="0" fontId="4" fillId="2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right" vertical="center" wrapText="1"/>
    </xf>
    <xf numFmtId="3" fontId="5" fillId="11" borderId="1" xfId="0" applyNumberFormat="1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3" fontId="4" fillId="11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3" fillId="11" borderId="5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opLeftCell="A67" zoomScale="95" zoomScaleNormal="95" workbookViewId="0">
      <selection activeCell="M15" sqref="M15"/>
    </sheetView>
  </sheetViews>
  <sheetFormatPr defaultRowHeight="14.25" x14ac:dyDescent="0.2"/>
  <cols>
    <col min="1" max="1" width="8.7109375" style="25" customWidth="1"/>
    <col min="2" max="2" width="6.42578125" style="25" customWidth="1"/>
    <col min="3" max="3" width="13.5703125" style="25" customWidth="1"/>
    <col min="4" max="4" width="13.140625" style="25" customWidth="1"/>
    <col min="5" max="6" width="13.28515625" style="25" customWidth="1"/>
    <col min="7" max="7" width="13.7109375" style="25" customWidth="1"/>
    <col min="8" max="8" width="15.5703125" style="25" customWidth="1"/>
    <col min="9" max="9" width="11.7109375" style="25" customWidth="1"/>
    <col min="10" max="10" width="12.42578125" style="25" customWidth="1"/>
    <col min="11" max="11" width="13.5703125" style="25" customWidth="1"/>
    <col min="12" max="12" width="11.140625" style="25" customWidth="1"/>
    <col min="13" max="13" width="12.85546875" style="25" customWidth="1"/>
    <col min="14" max="14" width="12.5703125" style="25" customWidth="1"/>
    <col min="15" max="15" width="11.42578125" style="25" customWidth="1"/>
    <col min="16" max="16" width="11.85546875" style="25" customWidth="1"/>
    <col min="17" max="17" width="9.7109375" style="25" customWidth="1"/>
    <col min="18" max="18" width="9.140625" style="25"/>
    <col min="19" max="19" width="10.7109375" style="25" bestFit="1" customWidth="1"/>
    <col min="20" max="16384" width="9.140625" style="25"/>
  </cols>
  <sheetData>
    <row r="1" spans="1:17" ht="21.75" customHeight="1" thickBot="1" x14ac:dyDescent="0.2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 t="s">
        <v>74</v>
      </c>
      <c r="Q1" s="356"/>
    </row>
    <row r="2" spans="1:17" ht="42.75" customHeight="1" thickTop="1" thickBot="1" x14ac:dyDescent="0.25">
      <c r="A2" s="364" t="s">
        <v>64</v>
      </c>
      <c r="B2" s="366" t="s">
        <v>0</v>
      </c>
      <c r="C2" s="360" t="s">
        <v>5</v>
      </c>
      <c r="D2" s="360"/>
      <c r="E2" s="360" t="s">
        <v>65</v>
      </c>
      <c r="F2" s="360" t="s">
        <v>2</v>
      </c>
      <c r="G2" s="360"/>
      <c r="H2" s="357" t="s">
        <v>13</v>
      </c>
      <c r="I2" s="358"/>
      <c r="J2" s="358"/>
      <c r="K2" s="358"/>
      <c r="L2" s="358"/>
      <c r="M2" s="358"/>
      <c r="N2" s="357" t="s">
        <v>66</v>
      </c>
      <c r="O2" s="358"/>
      <c r="P2" s="358"/>
      <c r="Q2" s="359"/>
    </row>
    <row r="3" spans="1:17" ht="51.75" customHeight="1" thickTop="1" thickBot="1" x14ac:dyDescent="0.25">
      <c r="A3" s="365"/>
      <c r="B3" s="367"/>
      <c r="C3" s="26" t="s">
        <v>3</v>
      </c>
      <c r="D3" s="26" t="s">
        <v>4</v>
      </c>
      <c r="E3" s="360"/>
      <c r="F3" s="26" t="s">
        <v>67</v>
      </c>
      <c r="G3" s="26" t="s">
        <v>1</v>
      </c>
      <c r="H3" s="26" t="s">
        <v>429</v>
      </c>
      <c r="I3" s="26" t="s">
        <v>15</v>
      </c>
      <c r="J3" s="26" t="s">
        <v>16</v>
      </c>
      <c r="K3" s="27" t="s">
        <v>431</v>
      </c>
      <c r="L3" s="27" t="s">
        <v>26</v>
      </c>
      <c r="M3" s="27" t="s">
        <v>19</v>
      </c>
      <c r="N3" s="28" t="s">
        <v>6</v>
      </c>
      <c r="O3" s="28" t="s">
        <v>21</v>
      </c>
      <c r="P3" s="28" t="s">
        <v>20</v>
      </c>
      <c r="Q3" s="28" t="s">
        <v>27</v>
      </c>
    </row>
    <row r="4" spans="1:17" ht="15.75" customHeight="1" thickTop="1" x14ac:dyDescent="0.2">
      <c r="A4" s="368" t="s">
        <v>85</v>
      </c>
      <c r="B4" s="29">
        <v>1</v>
      </c>
      <c r="C4" s="30">
        <v>44197</v>
      </c>
      <c r="D4" s="30">
        <v>44227</v>
      </c>
      <c r="E4" s="29">
        <v>34.042700000000004</v>
      </c>
      <c r="F4" s="146">
        <v>11531.569</v>
      </c>
      <c r="G4" s="31">
        <f>+F4*E4</f>
        <v>392565.74399630004</v>
      </c>
      <c r="H4" s="35">
        <v>108100</v>
      </c>
      <c r="I4" s="31">
        <v>18058</v>
      </c>
      <c r="J4" s="31">
        <v>611618</v>
      </c>
      <c r="K4" s="31">
        <v>36685</v>
      </c>
      <c r="L4" s="31">
        <v>31041</v>
      </c>
      <c r="M4" s="146">
        <f>+L4+K4+J4+I4+H4</f>
        <v>805502</v>
      </c>
      <c r="N4" s="32">
        <f>+M4/F4</f>
        <v>69.851899598398106</v>
      </c>
      <c r="O4" s="32">
        <f>+J4/F4</f>
        <v>53.038576103564054</v>
      </c>
      <c r="P4" s="32">
        <f>+(H4+I4)/F4</f>
        <v>10.94022851530438</v>
      </c>
      <c r="Q4" s="32">
        <f>+(K4+L4)/F4</f>
        <v>5.8730949795296725</v>
      </c>
    </row>
    <row r="5" spans="1:17" x14ac:dyDescent="0.2">
      <c r="A5" s="369"/>
      <c r="B5" s="33">
        <f>+B4+1</f>
        <v>2</v>
      </c>
      <c r="C5" s="34">
        <v>44228</v>
      </c>
      <c r="D5" s="34">
        <v>44255</v>
      </c>
      <c r="E5" s="33">
        <v>33.796999999999997</v>
      </c>
      <c r="F5" s="147">
        <v>9221.7330000000002</v>
      </c>
      <c r="G5" s="35">
        <f>+F5*E5</f>
        <v>311666.91020099999</v>
      </c>
      <c r="H5" s="144">
        <v>108100</v>
      </c>
      <c r="I5" s="35">
        <v>14337</v>
      </c>
      <c r="J5" s="35">
        <v>485577</v>
      </c>
      <c r="K5" s="35">
        <v>29121</v>
      </c>
      <c r="L5" s="35">
        <v>24643</v>
      </c>
      <c r="M5" s="147">
        <f t="shared" ref="M5:M15" si="0">+L5+K5+J5+I5+H5</f>
        <v>661778</v>
      </c>
      <c r="N5" s="36">
        <f t="shared" ref="N5:N16" si="1">+M5/F5</f>
        <v>71.762867131373241</v>
      </c>
      <c r="O5" s="36">
        <f t="shared" ref="O5:O16" si="2">+J5/F5</f>
        <v>52.65572100168157</v>
      </c>
      <c r="P5" s="36">
        <f t="shared" ref="P5:P16" si="3">+(H5+I5)/F5</f>
        <v>13.277005525967841</v>
      </c>
      <c r="Q5" s="36">
        <f t="shared" ref="Q5:Q16" si="4">+(K5+L5)/F5</f>
        <v>5.8301406037238337</v>
      </c>
    </row>
    <row r="6" spans="1:17" x14ac:dyDescent="0.2">
      <c r="A6" s="369"/>
      <c r="B6" s="33">
        <f t="shared" ref="B6:B15" si="5">+B5+1</f>
        <v>3</v>
      </c>
      <c r="C6" s="34">
        <v>44256</v>
      </c>
      <c r="D6" s="34">
        <v>44286</v>
      </c>
      <c r="E6" s="33">
        <v>33.649500000000003</v>
      </c>
      <c r="F6" s="147">
        <v>7994.7569999999996</v>
      </c>
      <c r="G6" s="35">
        <f t="shared" ref="G6:G15" si="6">+F6*E6</f>
        <v>269019.5756715</v>
      </c>
      <c r="H6" s="144">
        <v>108100</v>
      </c>
      <c r="I6" s="35">
        <v>12375</v>
      </c>
      <c r="J6" s="35">
        <v>419133</v>
      </c>
      <c r="K6" s="35">
        <v>25138</v>
      </c>
      <c r="L6" s="35">
        <v>21273</v>
      </c>
      <c r="M6" s="147">
        <f t="shared" si="0"/>
        <v>586019</v>
      </c>
      <c r="N6" s="36">
        <f t="shared" si="1"/>
        <v>73.300414258994991</v>
      </c>
      <c r="O6" s="36">
        <f t="shared" si="2"/>
        <v>52.425983679053665</v>
      </c>
      <c r="P6" s="36">
        <f t="shared" si="3"/>
        <v>15.069251010380929</v>
      </c>
      <c r="Q6" s="36">
        <f t="shared" si="4"/>
        <v>5.8051795695604014</v>
      </c>
    </row>
    <row r="7" spans="1:17" x14ac:dyDescent="0.2">
      <c r="A7" s="369"/>
      <c r="B7" s="33">
        <f t="shared" si="5"/>
        <v>4</v>
      </c>
      <c r="C7" s="34">
        <v>44287</v>
      </c>
      <c r="D7" s="34">
        <v>44316</v>
      </c>
      <c r="E7" s="33">
        <v>33.482599999999998</v>
      </c>
      <c r="F7" s="147">
        <v>5443.2719999999999</v>
      </c>
      <c r="G7" s="35">
        <f t="shared" si="6"/>
        <v>182254.89906719999</v>
      </c>
      <c r="H7" s="144">
        <v>108100</v>
      </c>
      <c r="I7" s="35">
        <v>8384</v>
      </c>
      <c r="J7" s="35">
        <v>283953</v>
      </c>
      <c r="K7" s="35">
        <v>17030</v>
      </c>
      <c r="L7" s="35">
        <v>14411</v>
      </c>
      <c r="M7" s="147">
        <f t="shared" si="0"/>
        <v>431878</v>
      </c>
      <c r="N7" s="36">
        <f t="shared" si="1"/>
        <v>79.341616586494297</v>
      </c>
      <c r="O7" s="36">
        <f t="shared" si="2"/>
        <v>52.165866412701774</v>
      </c>
      <c r="P7" s="36">
        <f t="shared" si="3"/>
        <v>21.399628752706093</v>
      </c>
      <c r="Q7" s="36">
        <f t="shared" si="4"/>
        <v>5.7761214210864349</v>
      </c>
    </row>
    <row r="8" spans="1:17" x14ac:dyDescent="0.2">
      <c r="A8" s="369"/>
      <c r="B8" s="33">
        <f t="shared" si="5"/>
        <v>5</v>
      </c>
      <c r="C8" s="34">
        <v>44317</v>
      </c>
      <c r="D8" s="34">
        <v>44347</v>
      </c>
      <c r="E8" s="33">
        <v>33.540999999999997</v>
      </c>
      <c r="F8" s="147">
        <v>789.51400000000001</v>
      </c>
      <c r="G8" s="35">
        <f t="shared" si="6"/>
        <v>26481.089074</v>
      </c>
      <c r="H8" s="144">
        <v>108100</v>
      </c>
      <c r="I8" s="35">
        <v>1218</v>
      </c>
      <c r="J8" s="35">
        <v>41257</v>
      </c>
      <c r="K8" s="35">
        <v>2474</v>
      </c>
      <c r="L8" s="35">
        <v>2093</v>
      </c>
      <c r="M8" s="147">
        <f t="shared" si="0"/>
        <v>155142</v>
      </c>
      <c r="N8" s="36">
        <f>+M8/F8</f>
        <v>196.50316523836182</v>
      </c>
      <c r="O8" s="36">
        <f>+J8/F8</f>
        <v>52.256198116816165</v>
      </c>
      <c r="P8" s="36">
        <f>+(H8+I8)/F8</f>
        <v>138.46239585365174</v>
      </c>
      <c r="Q8" s="36">
        <f>+(K8+L8)/F8</f>
        <v>5.7845712678939192</v>
      </c>
    </row>
    <row r="9" spans="1:17" x14ac:dyDescent="0.2">
      <c r="A9" s="369"/>
      <c r="B9" s="33">
        <f t="shared" si="5"/>
        <v>6</v>
      </c>
      <c r="C9" s="34">
        <v>44348</v>
      </c>
      <c r="D9" s="34">
        <v>44377</v>
      </c>
      <c r="E9" s="33">
        <v>33.472999999999999</v>
      </c>
      <c r="F9" s="147">
        <v>0.99</v>
      </c>
      <c r="G9" s="35">
        <f t="shared" si="6"/>
        <v>33.138269999999999</v>
      </c>
      <c r="H9" s="144">
        <v>108100</v>
      </c>
      <c r="I9" s="35">
        <v>2</v>
      </c>
      <c r="J9" s="35">
        <v>51</v>
      </c>
      <c r="K9" s="35">
        <v>3</v>
      </c>
      <c r="L9" s="35">
        <v>3</v>
      </c>
      <c r="M9" s="147">
        <f t="shared" si="0"/>
        <v>108159</v>
      </c>
      <c r="N9" s="36">
        <f>+M9/F9</f>
        <v>109251.51515151515</v>
      </c>
      <c r="O9" s="36">
        <f>+J9/F9</f>
        <v>51.515151515151516</v>
      </c>
      <c r="P9" s="36">
        <f>+(H9+I9)/F9</f>
        <v>109193.93939393939</v>
      </c>
      <c r="Q9" s="36">
        <f>+(K9+L9)/F9</f>
        <v>6.0606060606060606</v>
      </c>
    </row>
    <row r="10" spans="1:17" x14ac:dyDescent="0.2">
      <c r="A10" s="369"/>
      <c r="B10" s="33">
        <f t="shared" si="5"/>
        <v>7</v>
      </c>
      <c r="C10" s="34">
        <v>44378</v>
      </c>
      <c r="D10" s="34">
        <v>44408</v>
      </c>
      <c r="E10" s="33">
        <v>33.6</v>
      </c>
      <c r="F10" s="147">
        <v>0</v>
      </c>
      <c r="G10" s="35">
        <f t="shared" si="6"/>
        <v>0</v>
      </c>
      <c r="H10" s="144">
        <v>108100</v>
      </c>
      <c r="I10" s="35">
        <v>0</v>
      </c>
      <c r="J10" s="35">
        <v>0</v>
      </c>
      <c r="K10" s="35">
        <v>0</v>
      </c>
      <c r="L10" s="35">
        <v>0</v>
      </c>
      <c r="M10" s="147">
        <f t="shared" si="0"/>
        <v>108100</v>
      </c>
      <c r="N10" s="36" t="e">
        <f>+M10/F10</f>
        <v>#DIV/0!</v>
      </c>
      <c r="O10" s="36" t="e">
        <f>+J10/F10</f>
        <v>#DIV/0!</v>
      </c>
      <c r="P10" s="36" t="e">
        <f>+(H10+I10)/F10</f>
        <v>#DIV/0!</v>
      </c>
      <c r="Q10" s="36" t="e">
        <f>+(K10+L10)/F10</f>
        <v>#DIV/0!</v>
      </c>
    </row>
    <row r="11" spans="1:17" x14ac:dyDescent="0.2">
      <c r="A11" s="369"/>
      <c r="B11" s="33">
        <f t="shared" si="5"/>
        <v>8</v>
      </c>
      <c r="C11" s="34">
        <v>44409</v>
      </c>
      <c r="D11" s="34">
        <v>44439</v>
      </c>
      <c r="E11" s="33">
        <v>33.549999999999997</v>
      </c>
      <c r="F11" s="147">
        <v>0</v>
      </c>
      <c r="G11" s="35">
        <f t="shared" si="6"/>
        <v>0</v>
      </c>
      <c r="H11" s="144">
        <v>108100</v>
      </c>
      <c r="I11" s="35">
        <v>0</v>
      </c>
      <c r="J11" s="35">
        <v>0</v>
      </c>
      <c r="K11" s="35">
        <v>0</v>
      </c>
      <c r="L11" s="35">
        <v>0</v>
      </c>
      <c r="M11" s="147">
        <f t="shared" si="0"/>
        <v>108100</v>
      </c>
      <c r="N11" s="36" t="e">
        <f>+M11/F11</f>
        <v>#DIV/0!</v>
      </c>
      <c r="O11" s="36" t="e">
        <f>+J11/F11</f>
        <v>#DIV/0!</v>
      </c>
      <c r="P11" s="36" t="e">
        <f>+(H11+I11)/F11</f>
        <v>#DIV/0!</v>
      </c>
      <c r="Q11" s="36" t="e">
        <f>+(K11+L11)/F11</f>
        <v>#DIV/0!</v>
      </c>
    </row>
    <row r="12" spans="1:17" x14ac:dyDescent="0.2">
      <c r="A12" s="369"/>
      <c r="B12" s="33">
        <f t="shared" si="5"/>
        <v>9</v>
      </c>
      <c r="C12" s="34">
        <v>44440</v>
      </c>
      <c r="D12" s="34">
        <v>44469</v>
      </c>
      <c r="E12" s="33">
        <v>33.348179000000002</v>
      </c>
      <c r="F12" s="147">
        <v>145.53399999999999</v>
      </c>
      <c r="G12" s="35">
        <f t="shared" si="6"/>
        <v>4853.2938825860001</v>
      </c>
      <c r="H12" s="144">
        <v>108100</v>
      </c>
      <c r="I12" s="35">
        <v>220</v>
      </c>
      <c r="J12" s="35">
        <v>7458</v>
      </c>
      <c r="K12" s="35">
        <v>447</v>
      </c>
      <c r="L12" s="35">
        <v>378</v>
      </c>
      <c r="M12" s="147">
        <f t="shared" si="0"/>
        <v>116603</v>
      </c>
      <c r="N12" s="36">
        <f>+M12/F12</f>
        <v>801.20796514903736</v>
      </c>
      <c r="O12" s="36">
        <f>+J12/F12</f>
        <v>51.245757005235895</v>
      </c>
      <c r="P12" s="36">
        <f>+(H12+I12)/F12</f>
        <v>744.29342971401877</v>
      </c>
      <c r="Q12" s="36">
        <f>+(K12+L12)/F12</f>
        <v>5.6687784297827317</v>
      </c>
    </row>
    <row r="13" spans="1:17" x14ac:dyDescent="0.2">
      <c r="A13" s="369"/>
      <c r="B13" s="33">
        <f t="shared" si="5"/>
        <v>10</v>
      </c>
      <c r="C13" s="34">
        <v>44470</v>
      </c>
      <c r="D13" s="34">
        <v>44500</v>
      </c>
      <c r="E13" s="33">
        <v>33.663499999999999</v>
      </c>
      <c r="F13" s="147">
        <v>4337</v>
      </c>
      <c r="G13" s="35">
        <f t="shared" si="6"/>
        <v>145998.59949999998</v>
      </c>
      <c r="H13" s="144">
        <v>99594</v>
      </c>
      <c r="I13" s="35">
        <v>8857</v>
      </c>
      <c r="J13" s="35">
        <v>719131</v>
      </c>
      <c r="K13" s="35">
        <f>13644+8276</f>
        <v>21920</v>
      </c>
      <c r="L13" s="35">
        <v>11546</v>
      </c>
      <c r="M13" s="147">
        <f t="shared" si="0"/>
        <v>861048</v>
      </c>
      <c r="N13" s="36">
        <f t="shared" si="1"/>
        <v>198.53539312889095</v>
      </c>
      <c r="O13" s="36">
        <f t="shared" si="2"/>
        <v>165.81300438090847</v>
      </c>
      <c r="P13" s="36">
        <f t="shared" si="3"/>
        <v>25.005994927369148</v>
      </c>
      <c r="Q13" s="36">
        <f t="shared" si="4"/>
        <v>7.7163938206133276</v>
      </c>
    </row>
    <row r="14" spans="1:17" x14ac:dyDescent="0.2">
      <c r="A14" s="369"/>
      <c r="B14" s="33">
        <f t="shared" si="5"/>
        <v>11</v>
      </c>
      <c r="C14" s="34">
        <v>44501</v>
      </c>
      <c r="D14" s="34">
        <v>44530</v>
      </c>
      <c r="E14" s="33">
        <v>33.663600000000002</v>
      </c>
      <c r="F14" s="147">
        <v>8387</v>
      </c>
      <c r="G14" s="35">
        <f t="shared" si="6"/>
        <v>282336.61320000002</v>
      </c>
      <c r="H14" s="144">
        <v>96381</v>
      </c>
      <c r="I14" s="35">
        <v>17126</v>
      </c>
      <c r="J14" s="35">
        <v>1390594</v>
      </c>
      <c r="K14" s="35">
        <f>26384+15041</f>
        <v>41425</v>
      </c>
      <c r="L14" s="35">
        <v>22326</v>
      </c>
      <c r="M14" s="147">
        <f t="shared" si="0"/>
        <v>1567852</v>
      </c>
      <c r="N14" s="36">
        <f t="shared" si="1"/>
        <v>186.93835698104209</v>
      </c>
      <c r="O14" s="36">
        <f t="shared" si="2"/>
        <v>165.80350542506261</v>
      </c>
      <c r="P14" s="36">
        <f t="shared" si="3"/>
        <v>13.533683080958626</v>
      </c>
      <c r="Q14" s="36">
        <f t="shared" si="4"/>
        <v>7.6011684750208657</v>
      </c>
    </row>
    <row r="15" spans="1:17" ht="15" thickBot="1" x14ac:dyDescent="0.25">
      <c r="A15" s="369"/>
      <c r="B15" s="33">
        <f t="shared" si="5"/>
        <v>12</v>
      </c>
      <c r="C15" s="34">
        <v>44531</v>
      </c>
      <c r="D15" s="34">
        <v>44561</v>
      </c>
      <c r="E15" s="33">
        <v>34.072299999999998</v>
      </c>
      <c r="F15" s="147">
        <v>12052</v>
      </c>
      <c r="G15" s="35">
        <f t="shared" si="6"/>
        <v>410639.35959999997</v>
      </c>
      <c r="H15" s="144">
        <f>99594+996</f>
        <v>100590</v>
      </c>
      <c r="I15" s="35">
        <v>24914</v>
      </c>
      <c r="J15" s="35">
        <v>2022908</v>
      </c>
      <c r="K15" s="35">
        <f>38381+20478</f>
        <v>58859</v>
      </c>
      <c r="L15" s="35">
        <v>32477</v>
      </c>
      <c r="M15" s="147">
        <f t="shared" si="0"/>
        <v>2239748</v>
      </c>
      <c r="N15" s="36">
        <f t="shared" si="1"/>
        <v>185.84035844673085</v>
      </c>
      <c r="O15" s="36">
        <f t="shared" si="2"/>
        <v>167.84832392963824</v>
      </c>
      <c r="P15" s="36">
        <f t="shared" si="3"/>
        <v>10.413541320942581</v>
      </c>
      <c r="Q15" s="36">
        <f t="shared" si="4"/>
        <v>7.5784931961500162</v>
      </c>
    </row>
    <row r="16" spans="1:17" ht="27" customHeight="1" thickTop="1" thickBot="1" x14ac:dyDescent="0.25">
      <c r="A16" s="361" t="s">
        <v>6</v>
      </c>
      <c r="B16" s="362"/>
      <c r="C16" s="362"/>
      <c r="D16" s="363"/>
      <c r="E16" s="49">
        <f>+G16/F16</f>
        <v>33.818619157506589</v>
      </c>
      <c r="F16" s="40">
        <f t="shared" ref="F16:M16" si="7">SUM(F4:F15)</f>
        <v>59903.368999999999</v>
      </c>
      <c r="G16" s="40">
        <f t="shared" si="7"/>
        <v>2025849.2224625861</v>
      </c>
      <c r="H16" s="40">
        <f t="shared" si="7"/>
        <v>1269465</v>
      </c>
      <c r="I16" s="40">
        <f t="shared" si="7"/>
        <v>105491</v>
      </c>
      <c r="J16" s="40">
        <f t="shared" si="7"/>
        <v>5981680</v>
      </c>
      <c r="K16" s="40">
        <f t="shared" si="7"/>
        <v>233102</v>
      </c>
      <c r="L16" s="40">
        <f t="shared" si="7"/>
        <v>160191</v>
      </c>
      <c r="M16" s="40">
        <f t="shared" si="7"/>
        <v>7749929</v>
      </c>
      <c r="N16" s="41">
        <f t="shared" si="1"/>
        <v>129.37384206220523</v>
      </c>
      <c r="O16" s="41">
        <f t="shared" si="2"/>
        <v>99.855485590468206</v>
      </c>
      <c r="P16" s="41">
        <f t="shared" si="3"/>
        <v>22.952899360301423</v>
      </c>
      <c r="Q16" s="41">
        <f t="shared" si="4"/>
        <v>6.5654571114355855</v>
      </c>
    </row>
    <row r="17" spans="1:17" ht="46.5" customHeight="1" thickTop="1" x14ac:dyDescent="0.2">
      <c r="A17" s="98" t="s">
        <v>86</v>
      </c>
      <c r="B17" s="355" t="s">
        <v>176</v>
      </c>
      <c r="C17" s="355"/>
      <c r="D17" s="355"/>
      <c r="E17" s="42" t="s">
        <v>180</v>
      </c>
      <c r="F17" s="43">
        <v>65</v>
      </c>
      <c r="G17" s="43"/>
      <c r="H17" s="43" t="s">
        <v>177</v>
      </c>
      <c r="I17" s="370"/>
      <c r="J17" s="370"/>
      <c r="K17" s="370" t="s">
        <v>91</v>
      </c>
      <c r="L17" s="370"/>
      <c r="M17" s="370"/>
      <c r="N17" s="370"/>
      <c r="O17" s="44"/>
      <c r="P17" s="44"/>
      <c r="Q17" s="44"/>
    </row>
    <row r="18" spans="1:17" ht="15" thickBot="1" x14ac:dyDescent="0.25"/>
    <row r="19" spans="1:17" ht="42.75" customHeight="1" thickTop="1" thickBot="1" x14ac:dyDescent="0.25">
      <c r="A19" s="364" t="s">
        <v>64</v>
      </c>
      <c r="B19" s="366" t="s">
        <v>0</v>
      </c>
      <c r="C19" s="360" t="s">
        <v>5</v>
      </c>
      <c r="D19" s="360"/>
      <c r="E19" s="360" t="s">
        <v>65</v>
      </c>
      <c r="F19" s="360" t="s">
        <v>2</v>
      </c>
      <c r="G19" s="360"/>
      <c r="H19" s="357" t="s">
        <v>13</v>
      </c>
      <c r="I19" s="358"/>
      <c r="J19" s="358"/>
      <c r="K19" s="358"/>
      <c r="L19" s="358"/>
      <c r="M19" s="358"/>
      <c r="N19" s="357" t="s">
        <v>66</v>
      </c>
      <c r="O19" s="358"/>
      <c r="P19" s="358"/>
      <c r="Q19" s="359"/>
    </row>
    <row r="20" spans="1:17" ht="51.75" customHeight="1" thickTop="1" thickBot="1" x14ac:dyDescent="0.25">
      <c r="A20" s="365"/>
      <c r="B20" s="367"/>
      <c r="C20" s="65" t="s">
        <v>3</v>
      </c>
      <c r="D20" s="65" t="s">
        <v>4</v>
      </c>
      <c r="E20" s="360"/>
      <c r="F20" s="65" t="s">
        <v>67</v>
      </c>
      <c r="G20" s="65" t="s">
        <v>1</v>
      </c>
      <c r="H20" s="65" t="s">
        <v>429</v>
      </c>
      <c r="I20" s="65" t="s">
        <v>15</v>
      </c>
      <c r="J20" s="65" t="s">
        <v>16</v>
      </c>
      <c r="K20" s="63" t="s">
        <v>431</v>
      </c>
      <c r="L20" s="63" t="s">
        <v>26</v>
      </c>
      <c r="M20" s="63" t="s">
        <v>19</v>
      </c>
      <c r="N20" s="64" t="s">
        <v>6</v>
      </c>
      <c r="O20" s="64" t="s">
        <v>21</v>
      </c>
      <c r="P20" s="64" t="s">
        <v>20</v>
      </c>
      <c r="Q20" s="64" t="s">
        <v>27</v>
      </c>
    </row>
    <row r="21" spans="1:17" ht="15.75" customHeight="1" thickTop="1" x14ac:dyDescent="0.2">
      <c r="A21" s="368" t="s">
        <v>127</v>
      </c>
      <c r="B21" s="29">
        <v>1</v>
      </c>
      <c r="C21" s="30">
        <v>44197</v>
      </c>
      <c r="D21" s="30">
        <v>44227</v>
      </c>
      <c r="E21" s="341">
        <v>34.042700000000004</v>
      </c>
      <c r="F21" s="146">
        <f>9971.59+1055.066</f>
        <v>11026.656000000001</v>
      </c>
      <c r="G21" s="31">
        <f>+F21*E21</f>
        <v>375377.14221120009</v>
      </c>
      <c r="H21" s="35">
        <v>114446</v>
      </c>
      <c r="I21" s="31">
        <v>17267</v>
      </c>
      <c r="J21" s="31">
        <v>584837</v>
      </c>
      <c r="K21" s="31">
        <v>35078</v>
      </c>
      <c r="L21" s="31">
        <v>29684</v>
      </c>
      <c r="M21" s="146">
        <f>+L21+K21+J21+I21+H21</f>
        <v>781312</v>
      </c>
      <c r="N21" s="32">
        <f>+M21/F21</f>
        <v>70.856658627964805</v>
      </c>
      <c r="O21" s="32">
        <f>+J21/F21</f>
        <v>53.038473314121703</v>
      </c>
      <c r="P21" s="32">
        <f>+(H21+I21)/F21</f>
        <v>11.944963187388813</v>
      </c>
      <c r="Q21" s="32">
        <f>+(K21+L21)/F21</f>
        <v>5.8732221264542934</v>
      </c>
    </row>
    <row r="22" spans="1:17" ht="15" customHeight="1" x14ac:dyDescent="0.2">
      <c r="A22" s="369"/>
      <c r="B22" s="33">
        <v>2</v>
      </c>
      <c r="C22" s="34">
        <v>44228</v>
      </c>
      <c r="D22" s="162">
        <v>44255</v>
      </c>
      <c r="E22" s="33">
        <v>33.796999999999997</v>
      </c>
      <c r="F22" s="147">
        <f>7561.167+1034.59</f>
        <v>8595.7569999999996</v>
      </c>
      <c r="G22" s="35">
        <f>+F22*E22</f>
        <v>290510.79932899994</v>
      </c>
      <c r="H22" s="144">
        <v>114446</v>
      </c>
      <c r="I22" s="144">
        <v>13364</v>
      </c>
      <c r="J22" s="144">
        <v>452616</v>
      </c>
      <c r="K22" s="144">
        <v>27145</v>
      </c>
      <c r="L22" s="144">
        <v>22969</v>
      </c>
      <c r="M22" s="147">
        <f t="shared" ref="M22:M32" si="8">+L22+K22+J22+I22+H22</f>
        <v>630540</v>
      </c>
      <c r="N22" s="36">
        <f t="shared" ref="N22:N33" si="9">+M22/F22</f>
        <v>73.354795860329702</v>
      </c>
      <c r="O22" s="36">
        <f t="shared" ref="O22:O33" si="10">+J22/F22</f>
        <v>52.6557463176309</v>
      </c>
      <c r="P22" s="36">
        <f t="shared" ref="P22:P33" si="11">+(H22+I22)/F22</f>
        <v>14.868963838786975</v>
      </c>
      <c r="Q22" s="36">
        <f t="shared" ref="Q22:Q33" si="12">+(K22+L22)/F22</f>
        <v>5.8300857039118252</v>
      </c>
    </row>
    <row r="23" spans="1:17" x14ac:dyDescent="0.2">
      <c r="A23" s="369"/>
      <c r="B23" s="33">
        <v>3</v>
      </c>
      <c r="C23" s="34">
        <v>44256</v>
      </c>
      <c r="D23" s="34">
        <v>44286</v>
      </c>
      <c r="E23" s="33">
        <v>33.649500000000003</v>
      </c>
      <c r="F23" s="147">
        <f>5725.551+943.224</f>
        <v>6668.7750000000005</v>
      </c>
      <c r="G23" s="35">
        <f t="shared" ref="G23:G32" si="13">+F23*E23</f>
        <v>224400.94436250004</v>
      </c>
      <c r="H23" s="144">
        <v>114446</v>
      </c>
      <c r="I23" s="144">
        <v>10322</v>
      </c>
      <c r="J23" s="144">
        <v>349617</v>
      </c>
      <c r="K23" s="144">
        <v>20969</v>
      </c>
      <c r="L23" s="144">
        <v>17743</v>
      </c>
      <c r="M23" s="147">
        <f t="shared" si="8"/>
        <v>513097</v>
      </c>
      <c r="N23" s="36">
        <f t="shared" si="9"/>
        <v>76.940217656166226</v>
      </c>
      <c r="O23" s="36">
        <f t="shared" si="10"/>
        <v>52.425970286896764</v>
      </c>
      <c r="P23" s="36">
        <f t="shared" si="11"/>
        <v>18.709283189191417</v>
      </c>
      <c r="Q23" s="36">
        <f t="shared" si="12"/>
        <v>5.8049641800780503</v>
      </c>
    </row>
    <row r="24" spans="1:17" x14ac:dyDescent="0.2">
      <c r="A24" s="369"/>
      <c r="B24" s="33">
        <v>4</v>
      </c>
      <c r="C24" s="34">
        <v>44287</v>
      </c>
      <c r="D24" s="34">
        <v>44316</v>
      </c>
      <c r="E24" s="33">
        <v>33.482599999999998</v>
      </c>
      <c r="F24" s="147">
        <f>4000.736+930.663</f>
        <v>4931.3989999999994</v>
      </c>
      <c r="G24" s="35">
        <f t="shared" si="13"/>
        <v>165116.06015739997</v>
      </c>
      <c r="H24" s="144">
        <v>114446</v>
      </c>
      <c r="I24" s="144">
        <v>7595</v>
      </c>
      <c r="J24" s="144">
        <v>257251</v>
      </c>
      <c r="K24" s="144">
        <v>15428</v>
      </c>
      <c r="L24" s="144">
        <v>13054</v>
      </c>
      <c r="M24" s="147">
        <f t="shared" si="8"/>
        <v>407774</v>
      </c>
      <c r="N24" s="36">
        <f t="shared" si="9"/>
        <v>82.689313924912597</v>
      </c>
      <c r="O24" s="36">
        <f t="shared" si="10"/>
        <v>52.165926950952461</v>
      </c>
      <c r="P24" s="36">
        <f t="shared" si="11"/>
        <v>24.747743997190252</v>
      </c>
      <c r="Q24" s="36">
        <f t="shared" si="12"/>
        <v>5.7756429767698787</v>
      </c>
    </row>
    <row r="25" spans="1:17" x14ac:dyDescent="0.2">
      <c r="A25" s="369"/>
      <c r="B25" s="33">
        <v>5</v>
      </c>
      <c r="C25" s="34">
        <v>44317</v>
      </c>
      <c r="D25" s="34">
        <v>44347</v>
      </c>
      <c r="E25" s="33">
        <v>33.540300000000002</v>
      </c>
      <c r="F25" s="147">
        <f>1755.155+1050.664</f>
        <v>2805.819</v>
      </c>
      <c r="G25" s="35">
        <f t="shared" si="13"/>
        <v>94108.011005699998</v>
      </c>
      <c r="H25" s="144">
        <v>114446</v>
      </c>
      <c r="I25" s="144">
        <v>4329</v>
      </c>
      <c r="J25" s="144">
        <v>146620</v>
      </c>
      <c r="K25" s="144">
        <v>8793</v>
      </c>
      <c r="L25" s="144">
        <v>7440</v>
      </c>
      <c r="M25" s="147">
        <f t="shared" si="8"/>
        <v>281628</v>
      </c>
      <c r="N25" s="36">
        <f t="shared" si="9"/>
        <v>100.37283231740894</v>
      </c>
      <c r="O25" s="36">
        <f t="shared" si="10"/>
        <v>52.255687198639684</v>
      </c>
      <c r="P25" s="36">
        <f t="shared" si="11"/>
        <v>42.331668578764344</v>
      </c>
      <c r="Q25" s="36">
        <f t="shared" si="12"/>
        <v>5.7854765400048969</v>
      </c>
    </row>
    <row r="26" spans="1:17" x14ac:dyDescent="0.2">
      <c r="A26" s="369"/>
      <c r="B26" s="33">
        <v>6</v>
      </c>
      <c r="C26" s="34">
        <v>44348</v>
      </c>
      <c r="D26" s="34">
        <v>44377</v>
      </c>
      <c r="E26" s="33">
        <v>33.472999999999999</v>
      </c>
      <c r="F26" s="147">
        <v>959.43299999999999</v>
      </c>
      <c r="G26" s="35">
        <f t="shared" si="13"/>
        <v>32115.100809</v>
      </c>
      <c r="H26" s="144">
        <v>114446</v>
      </c>
      <c r="I26" s="144">
        <v>1477</v>
      </c>
      <c r="J26" s="144">
        <v>50035</v>
      </c>
      <c r="K26" s="144">
        <v>3001</v>
      </c>
      <c r="L26" s="144">
        <v>2540</v>
      </c>
      <c r="M26" s="147">
        <f t="shared" si="8"/>
        <v>171499</v>
      </c>
      <c r="N26" s="36">
        <f t="shared" si="9"/>
        <v>178.75036610164545</v>
      </c>
      <c r="O26" s="36">
        <f t="shared" si="10"/>
        <v>52.150593110722689</v>
      </c>
      <c r="P26" s="36">
        <f t="shared" si="11"/>
        <v>120.8244869626123</v>
      </c>
      <c r="Q26" s="36">
        <f t="shared" si="12"/>
        <v>5.7752860283104708</v>
      </c>
    </row>
    <row r="27" spans="1:17" x14ac:dyDescent="0.2">
      <c r="A27" s="369"/>
      <c r="B27" s="33">
        <v>7</v>
      </c>
      <c r="C27" s="34">
        <v>44378</v>
      </c>
      <c r="D27" s="34">
        <v>44408</v>
      </c>
      <c r="E27" s="33">
        <v>33.450000000000003</v>
      </c>
      <c r="F27" s="147">
        <v>638.32000000000005</v>
      </c>
      <c r="G27" s="35">
        <f t="shared" si="13"/>
        <v>21351.804000000004</v>
      </c>
      <c r="H27" s="144">
        <v>114446</v>
      </c>
      <c r="I27" s="144">
        <v>982</v>
      </c>
      <c r="J27" s="144">
        <v>33270</v>
      </c>
      <c r="K27" s="144">
        <v>1995</v>
      </c>
      <c r="L27" s="144">
        <v>1689</v>
      </c>
      <c r="M27" s="147">
        <f t="shared" si="8"/>
        <v>152382</v>
      </c>
      <c r="N27" s="36">
        <f t="shared" si="9"/>
        <v>238.72352425115926</v>
      </c>
      <c r="O27" s="36">
        <f t="shared" si="10"/>
        <v>52.121193131971424</v>
      </c>
      <c r="P27" s="36">
        <f t="shared" si="11"/>
        <v>180.83093119438524</v>
      </c>
      <c r="Q27" s="36">
        <f t="shared" si="12"/>
        <v>5.7713999248026067</v>
      </c>
    </row>
    <row r="28" spans="1:17" x14ac:dyDescent="0.2">
      <c r="A28" s="369"/>
      <c r="B28" s="33">
        <v>8</v>
      </c>
      <c r="C28" s="34">
        <v>44409</v>
      </c>
      <c r="D28" s="34">
        <v>44439</v>
      </c>
      <c r="E28" s="33">
        <v>33.4</v>
      </c>
      <c r="F28" s="147">
        <v>659.59299999999996</v>
      </c>
      <c r="G28" s="35">
        <f t="shared" si="13"/>
        <v>22030.406199999998</v>
      </c>
      <c r="H28" s="144">
        <v>114446</v>
      </c>
      <c r="I28" s="144">
        <v>1013</v>
      </c>
      <c r="J28" s="144">
        <v>34320</v>
      </c>
      <c r="K28" s="144">
        <v>2058</v>
      </c>
      <c r="L28" s="144">
        <v>1743</v>
      </c>
      <c r="M28" s="147">
        <f t="shared" si="8"/>
        <v>153580</v>
      </c>
      <c r="N28" s="36">
        <f t="shared" si="9"/>
        <v>232.8405547057049</v>
      </c>
      <c r="O28" s="36">
        <f t="shared" si="10"/>
        <v>52.032086453312878</v>
      </c>
      <c r="P28" s="36">
        <f t="shared" si="11"/>
        <v>175.04582371250152</v>
      </c>
      <c r="Q28" s="36">
        <f t="shared" si="12"/>
        <v>5.7626445398905082</v>
      </c>
    </row>
    <row r="29" spans="1:17" x14ac:dyDescent="0.2">
      <c r="A29" s="369"/>
      <c r="B29" s="33">
        <v>9</v>
      </c>
      <c r="C29" s="34">
        <v>44440</v>
      </c>
      <c r="D29" s="34">
        <v>44469</v>
      </c>
      <c r="E29" s="33">
        <v>33.348179000000002</v>
      </c>
      <c r="F29" s="147">
        <v>1019.234</v>
      </c>
      <c r="G29" s="35">
        <f t="shared" si="13"/>
        <v>33989.597874886</v>
      </c>
      <c r="H29" s="144">
        <v>114446</v>
      </c>
      <c r="I29" s="144">
        <v>1564</v>
      </c>
      <c r="J29" s="144">
        <v>52956</v>
      </c>
      <c r="K29" s="144">
        <v>3176</v>
      </c>
      <c r="L29" s="144">
        <v>2686</v>
      </c>
      <c r="M29" s="147">
        <f t="shared" si="8"/>
        <v>174828</v>
      </c>
      <c r="N29" s="36">
        <f t="shared" si="9"/>
        <v>171.52881477658713</v>
      </c>
      <c r="O29" s="36">
        <f t="shared" si="10"/>
        <v>51.956665495852768</v>
      </c>
      <c r="P29" s="36">
        <f t="shared" si="11"/>
        <v>113.82077128510234</v>
      </c>
      <c r="Q29" s="36">
        <f t="shared" si="12"/>
        <v>5.7513779956320139</v>
      </c>
    </row>
    <row r="30" spans="1:17" x14ac:dyDescent="0.2">
      <c r="A30" s="369"/>
      <c r="B30" s="33">
        <v>10</v>
      </c>
      <c r="C30" s="34">
        <v>44470</v>
      </c>
      <c r="D30" s="34">
        <v>44500</v>
      </c>
      <c r="E30" s="33">
        <v>33.659999999999997</v>
      </c>
      <c r="F30" s="147">
        <f>597+2261+2214+430</f>
        <v>5502</v>
      </c>
      <c r="G30" s="35">
        <f t="shared" si="13"/>
        <v>185197.31999999998</v>
      </c>
      <c r="H30" s="144">
        <f>68108+56089</f>
        <v>124197</v>
      </c>
      <c r="I30" s="144">
        <f>5837+5399</f>
        <v>11236</v>
      </c>
      <c r="J30" s="144">
        <f>473955+438393</f>
        <v>912348</v>
      </c>
      <c r="K30" s="144">
        <f>8992+5479+8318+4999</f>
        <v>27788</v>
      </c>
      <c r="L30" s="144">
        <f>7609+7038</f>
        <v>14647</v>
      </c>
      <c r="M30" s="147">
        <f t="shared" si="8"/>
        <v>1090216</v>
      </c>
      <c r="N30" s="36">
        <f t="shared" si="9"/>
        <v>198.14903671392221</v>
      </c>
      <c r="O30" s="36">
        <f t="shared" si="10"/>
        <v>165.82115594329335</v>
      </c>
      <c r="P30" s="36">
        <f t="shared" si="11"/>
        <v>24.615230825154491</v>
      </c>
      <c r="Q30" s="36">
        <f t="shared" si="12"/>
        <v>7.7126499454743733</v>
      </c>
    </row>
    <row r="31" spans="1:17" x14ac:dyDescent="0.2">
      <c r="A31" s="369"/>
      <c r="B31" s="33">
        <v>11</v>
      </c>
      <c r="C31" s="34">
        <v>44501</v>
      </c>
      <c r="D31" s="34">
        <v>44530</v>
      </c>
      <c r="E31" s="33">
        <v>33.663600000000002</v>
      </c>
      <c r="F31" s="147">
        <f>8542+1081</f>
        <v>9623</v>
      </c>
      <c r="G31" s="35">
        <f t="shared" si="13"/>
        <v>323944.82280000002</v>
      </c>
      <c r="H31" s="144">
        <v>120190</v>
      </c>
      <c r="I31" s="144">
        <v>19650</v>
      </c>
      <c r="J31" s="144">
        <v>1595532</v>
      </c>
      <c r="K31" s="144">
        <f>30272+17354</f>
        <v>47626</v>
      </c>
      <c r="L31" s="144">
        <v>25616</v>
      </c>
      <c r="M31" s="147">
        <f t="shared" si="8"/>
        <v>1808614</v>
      </c>
      <c r="N31" s="36">
        <f t="shared" si="9"/>
        <v>187.94700197443623</v>
      </c>
      <c r="O31" s="36">
        <f t="shared" si="10"/>
        <v>165.8040112231113</v>
      </c>
      <c r="P31" s="36">
        <f t="shared" si="11"/>
        <v>14.531850774186845</v>
      </c>
      <c r="Q31" s="36">
        <f t="shared" si="12"/>
        <v>7.611139977138107</v>
      </c>
    </row>
    <row r="32" spans="1:17" ht="15" thickBot="1" x14ac:dyDescent="0.25">
      <c r="A32" s="369"/>
      <c r="B32" s="33">
        <v>12</v>
      </c>
      <c r="C32" s="34">
        <v>44531</v>
      </c>
      <c r="D32" s="34">
        <v>44561</v>
      </c>
      <c r="E32" s="33">
        <v>34.073799999999999</v>
      </c>
      <c r="F32" s="147">
        <f>10234+949</f>
        <v>11183</v>
      </c>
      <c r="G32" s="35">
        <f t="shared" si="13"/>
        <v>381047.30540000001</v>
      </c>
      <c r="H32" s="144">
        <f>124196+1242</f>
        <v>125438</v>
      </c>
      <c r="I32" s="35">
        <v>23118</v>
      </c>
      <c r="J32" s="35">
        <v>1877135</v>
      </c>
      <c r="K32" s="35">
        <f>35615+19003</f>
        <v>54618</v>
      </c>
      <c r="L32" s="35">
        <v>30137</v>
      </c>
      <c r="M32" s="147">
        <f t="shared" si="8"/>
        <v>2110446</v>
      </c>
      <c r="N32" s="36">
        <f t="shared" si="9"/>
        <v>188.71912724671375</v>
      </c>
      <c r="O32" s="36">
        <f t="shared" si="10"/>
        <v>167.8561208977913</v>
      </c>
      <c r="P32" s="36">
        <f t="shared" si="11"/>
        <v>13.284091925243674</v>
      </c>
      <c r="Q32" s="36">
        <f t="shared" si="12"/>
        <v>7.578914423678798</v>
      </c>
    </row>
    <row r="33" spans="1:17" ht="27" customHeight="1" thickTop="1" thickBot="1" x14ac:dyDescent="0.25">
      <c r="A33" s="361" t="s">
        <v>6</v>
      </c>
      <c r="B33" s="362"/>
      <c r="C33" s="362"/>
      <c r="D33" s="363"/>
      <c r="E33" s="49">
        <f>+G33/F33</f>
        <v>33.785386432727528</v>
      </c>
      <c r="F33" s="40">
        <f t="shared" ref="F33:M33" si="14">SUM(F21:F32)</f>
        <v>63612.985999999997</v>
      </c>
      <c r="G33" s="40">
        <f t="shared" si="14"/>
        <v>2149189.3141496861</v>
      </c>
      <c r="H33" s="40">
        <f t="shared" si="14"/>
        <v>1399839</v>
      </c>
      <c r="I33" s="40">
        <f t="shared" si="14"/>
        <v>111917</v>
      </c>
      <c r="J33" s="40">
        <f t="shared" si="14"/>
        <v>6346537</v>
      </c>
      <c r="K33" s="40">
        <f t="shared" si="14"/>
        <v>247675</v>
      </c>
      <c r="L33" s="40">
        <f t="shared" si="14"/>
        <v>169948</v>
      </c>
      <c r="M33" s="40">
        <f t="shared" si="14"/>
        <v>8275916</v>
      </c>
      <c r="N33" s="41">
        <f t="shared" si="9"/>
        <v>130.09790170830843</v>
      </c>
      <c r="O33" s="41">
        <f t="shared" si="10"/>
        <v>99.767946752255909</v>
      </c>
      <c r="P33" s="41">
        <f t="shared" si="11"/>
        <v>23.764896054399962</v>
      </c>
      <c r="Q33" s="41">
        <f t="shared" si="12"/>
        <v>6.5650589016525656</v>
      </c>
    </row>
    <row r="34" spans="1:17" ht="39.75" customHeight="1" thickTop="1" x14ac:dyDescent="0.2">
      <c r="A34" s="98" t="s">
        <v>86</v>
      </c>
      <c r="B34" s="355" t="s">
        <v>178</v>
      </c>
      <c r="C34" s="355"/>
      <c r="D34" s="355"/>
      <c r="E34" s="66" t="s">
        <v>180</v>
      </c>
      <c r="F34" s="329" t="s">
        <v>396</v>
      </c>
      <c r="G34" s="99">
        <v>80</v>
      </c>
      <c r="H34" s="99" t="s">
        <v>177</v>
      </c>
      <c r="I34" s="371" t="s">
        <v>286</v>
      </c>
      <c r="J34" s="371"/>
      <c r="K34" s="370" t="s">
        <v>179</v>
      </c>
      <c r="L34" s="370"/>
      <c r="M34" s="370"/>
      <c r="N34" s="370"/>
      <c r="O34" s="44" t="s">
        <v>430</v>
      </c>
      <c r="P34" s="44"/>
      <c r="Q34" s="44"/>
    </row>
    <row r="35" spans="1:17" ht="14.25" customHeight="1" thickBot="1" x14ac:dyDescent="0.25">
      <c r="A35" s="100"/>
      <c r="B35" s="42"/>
      <c r="C35" s="42"/>
      <c r="D35" s="42"/>
      <c r="E35" s="42"/>
      <c r="F35" s="43"/>
      <c r="G35" s="43"/>
      <c r="H35" s="43"/>
      <c r="I35" s="43"/>
      <c r="J35" s="43"/>
      <c r="K35" s="43"/>
      <c r="L35" s="43"/>
      <c r="M35" s="43"/>
      <c r="N35" s="43"/>
      <c r="O35" s="44"/>
      <c r="P35" s="44"/>
      <c r="Q35" s="44"/>
    </row>
    <row r="36" spans="1:17" ht="42.75" customHeight="1" thickTop="1" thickBot="1" x14ac:dyDescent="0.25">
      <c r="A36" s="364" t="s">
        <v>64</v>
      </c>
      <c r="B36" s="366" t="s">
        <v>0</v>
      </c>
      <c r="C36" s="360" t="s">
        <v>5</v>
      </c>
      <c r="D36" s="360"/>
      <c r="E36" s="360" t="s">
        <v>65</v>
      </c>
      <c r="F36" s="360" t="s">
        <v>2</v>
      </c>
      <c r="G36" s="360"/>
      <c r="H36" s="357" t="s">
        <v>13</v>
      </c>
      <c r="I36" s="358"/>
      <c r="J36" s="358"/>
      <c r="K36" s="358"/>
      <c r="L36" s="358"/>
      <c r="M36" s="358"/>
      <c r="N36" s="357" t="s">
        <v>66</v>
      </c>
      <c r="O36" s="358"/>
      <c r="P36" s="358"/>
      <c r="Q36" s="359"/>
    </row>
    <row r="37" spans="1:17" ht="51.75" customHeight="1" thickTop="1" thickBot="1" x14ac:dyDescent="0.25">
      <c r="A37" s="365"/>
      <c r="B37" s="367"/>
      <c r="C37" s="65" t="s">
        <v>3</v>
      </c>
      <c r="D37" s="65" t="s">
        <v>4</v>
      </c>
      <c r="E37" s="360"/>
      <c r="F37" s="65" t="s">
        <v>67</v>
      </c>
      <c r="G37" s="65" t="s">
        <v>1</v>
      </c>
      <c r="H37" s="65" t="s">
        <v>429</v>
      </c>
      <c r="I37" s="65" t="s">
        <v>15</v>
      </c>
      <c r="J37" s="65" t="s">
        <v>16</v>
      </c>
      <c r="K37" s="63" t="s">
        <v>431</v>
      </c>
      <c r="L37" s="63" t="s">
        <v>26</v>
      </c>
      <c r="M37" s="63" t="s">
        <v>19</v>
      </c>
      <c r="N37" s="64" t="s">
        <v>6</v>
      </c>
      <c r="O37" s="64" t="s">
        <v>21</v>
      </c>
      <c r="P37" s="64" t="s">
        <v>20</v>
      </c>
      <c r="Q37" s="64" t="s">
        <v>27</v>
      </c>
    </row>
    <row r="38" spans="1:17" ht="15.75" customHeight="1" thickTop="1" x14ac:dyDescent="0.2">
      <c r="A38" s="368" t="s">
        <v>292</v>
      </c>
      <c r="B38" s="29">
        <v>1</v>
      </c>
      <c r="C38" s="30">
        <v>44197</v>
      </c>
      <c r="D38" s="30">
        <v>44227</v>
      </c>
      <c r="E38" s="29">
        <v>34.042630000000003</v>
      </c>
      <c r="F38" s="146">
        <v>8695.2019999999993</v>
      </c>
      <c r="G38" s="31">
        <f t="shared" ref="G38:G49" si="15">+F38*E38</f>
        <v>296007.54446126003</v>
      </c>
      <c r="H38" s="35">
        <v>52644</v>
      </c>
      <c r="I38" s="31">
        <v>13616</v>
      </c>
      <c r="J38" s="31">
        <v>461180</v>
      </c>
      <c r="K38" s="31">
        <v>27661</v>
      </c>
      <c r="L38" s="31">
        <v>23406</v>
      </c>
      <c r="M38" s="146">
        <f>+L38+K38+J38+I38+H38</f>
        <v>578507</v>
      </c>
      <c r="N38" s="32">
        <f>+M38/F38</f>
        <v>66.53174934866378</v>
      </c>
      <c r="O38" s="32">
        <f>+J38/F38</f>
        <v>53.03844580033909</v>
      </c>
      <c r="P38" s="32">
        <f>+(H38+I38)/F38</f>
        <v>7.6202945026464022</v>
      </c>
      <c r="Q38" s="32">
        <f>+(K38+L38)/F38</f>
        <v>5.8730090456782955</v>
      </c>
    </row>
    <row r="39" spans="1:17" x14ac:dyDescent="0.2">
      <c r="A39" s="369"/>
      <c r="B39" s="33">
        <v>2</v>
      </c>
      <c r="C39" s="34">
        <v>44228</v>
      </c>
      <c r="D39" s="34">
        <v>44255</v>
      </c>
      <c r="E39" s="33">
        <v>33.796999999999997</v>
      </c>
      <c r="F39" s="147">
        <v>7276.7830000000004</v>
      </c>
      <c r="G39" s="35">
        <f t="shared" si="15"/>
        <v>245933.43505099998</v>
      </c>
      <c r="H39" s="35">
        <v>52644</v>
      </c>
      <c r="I39" s="144">
        <v>11313</v>
      </c>
      <c r="J39" s="144">
        <v>383164</v>
      </c>
      <c r="K39" s="35">
        <v>22979</v>
      </c>
      <c r="L39" s="35">
        <v>19445</v>
      </c>
      <c r="M39" s="147">
        <f t="shared" ref="M39:M49" si="16">+L39+K39+J39+I39+H39</f>
        <v>489545</v>
      </c>
      <c r="N39" s="36">
        <f t="shared" ref="N39:N50" si="17">+M39/F39</f>
        <v>67.274920799479659</v>
      </c>
      <c r="O39" s="36">
        <f t="shared" ref="O39:O50" si="18">+J39/F39</f>
        <v>52.655685898562588</v>
      </c>
      <c r="P39" s="36">
        <f t="shared" ref="P39:P50" si="19">+(H39+I39)/F39</f>
        <v>8.7891861005062264</v>
      </c>
      <c r="Q39" s="36">
        <f t="shared" ref="Q39:Q50" si="20">+(K39+L39)/F39</f>
        <v>5.8300488004108404</v>
      </c>
    </row>
    <row r="40" spans="1:17" x14ac:dyDescent="0.2">
      <c r="A40" s="369"/>
      <c r="B40" s="33">
        <v>3</v>
      </c>
      <c r="C40" s="162">
        <v>44256</v>
      </c>
      <c r="D40" s="162">
        <v>44286</v>
      </c>
      <c r="E40" s="33">
        <v>33.6496</v>
      </c>
      <c r="F40" s="147">
        <v>5475.9939999999997</v>
      </c>
      <c r="G40" s="35">
        <f t="shared" si="15"/>
        <v>184265.00770239998</v>
      </c>
      <c r="H40" s="35">
        <v>52644</v>
      </c>
      <c r="I40" s="144">
        <v>8476</v>
      </c>
      <c r="J40" s="144">
        <v>287085</v>
      </c>
      <c r="K40" s="35">
        <v>17219</v>
      </c>
      <c r="L40" s="35">
        <v>14571</v>
      </c>
      <c r="M40" s="147">
        <f t="shared" si="16"/>
        <v>379995</v>
      </c>
      <c r="N40" s="36">
        <f t="shared" si="17"/>
        <v>69.392881000234851</v>
      </c>
      <c r="O40" s="36">
        <f t="shared" si="18"/>
        <v>52.426098348537273</v>
      </c>
      <c r="P40" s="36">
        <f t="shared" si="19"/>
        <v>11.161443931457924</v>
      </c>
      <c r="Q40" s="36">
        <f t="shared" si="20"/>
        <v>5.80533872023965</v>
      </c>
    </row>
    <row r="41" spans="1:17" x14ac:dyDescent="0.2">
      <c r="A41" s="369"/>
      <c r="B41" s="33">
        <v>4</v>
      </c>
      <c r="C41" s="34">
        <v>44287</v>
      </c>
      <c r="D41" s="34">
        <v>44316</v>
      </c>
      <c r="E41" s="33">
        <v>33.482999999999997</v>
      </c>
      <c r="F41" s="147">
        <v>625.178</v>
      </c>
      <c r="G41" s="35">
        <f t="shared" si="15"/>
        <v>20932.834973999998</v>
      </c>
      <c r="H41" s="35">
        <v>52644</v>
      </c>
      <c r="I41" s="144">
        <v>963</v>
      </c>
      <c r="J41" s="144">
        <v>32614</v>
      </c>
      <c r="K41" s="35">
        <v>1956</v>
      </c>
      <c r="L41" s="35">
        <v>1656</v>
      </c>
      <c r="M41" s="147">
        <f t="shared" si="16"/>
        <v>89833</v>
      </c>
      <c r="N41" s="36">
        <f t="shared" si="17"/>
        <v>143.69187655355753</v>
      </c>
      <c r="O41" s="36">
        <f t="shared" si="18"/>
        <v>52.167542683843642</v>
      </c>
      <c r="P41" s="36">
        <f t="shared" si="19"/>
        <v>85.746779317250443</v>
      </c>
      <c r="Q41" s="36">
        <f t="shared" si="20"/>
        <v>5.7775545524634584</v>
      </c>
    </row>
    <row r="42" spans="1:17" x14ac:dyDescent="0.2">
      <c r="A42" s="369"/>
      <c r="B42" s="33">
        <v>5</v>
      </c>
      <c r="C42" s="34">
        <v>44317</v>
      </c>
      <c r="D42" s="34">
        <v>44347</v>
      </c>
      <c r="E42" s="33">
        <v>33.54</v>
      </c>
      <c r="F42" s="147">
        <v>368.44099999999997</v>
      </c>
      <c r="G42" s="35">
        <f t="shared" si="15"/>
        <v>12357.511139999999</v>
      </c>
      <c r="H42" s="35">
        <v>52644</v>
      </c>
      <c r="I42" s="144">
        <v>568</v>
      </c>
      <c r="J42" s="144">
        <v>19254</v>
      </c>
      <c r="K42" s="35">
        <v>1155</v>
      </c>
      <c r="L42" s="35">
        <v>977</v>
      </c>
      <c r="M42" s="147">
        <f t="shared" si="16"/>
        <v>74598</v>
      </c>
      <c r="N42" s="36">
        <f t="shared" si="17"/>
        <v>202.46932344663054</v>
      </c>
      <c r="O42" s="36">
        <f t="shared" si="18"/>
        <v>52.258027743926441</v>
      </c>
      <c r="P42" s="36">
        <f t="shared" si="19"/>
        <v>144.42475185986359</v>
      </c>
      <c r="Q42" s="36">
        <f t="shared" si="20"/>
        <v>5.7865438428405094</v>
      </c>
    </row>
    <row r="43" spans="1:17" x14ac:dyDescent="0.2">
      <c r="A43" s="369"/>
      <c r="B43" s="33">
        <v>6</v>
      </c>
      <c r="C43" s="34">
        <v>44348</v>
      </c>
      <c r="D43" s="34">
        <v>44377</v>
      </c>
      <c r="E43" s="33">
        <v>33.472999999999999</v>
      </c>
      <c r="F43" s="147">
        <v>141.988</v>
      </c>
      <c r="G43" s="35">
        <f t="shared" si="15"/>
        <v>4752.7643239999998</v>
      </c>
      <c r="H43" s="35">
        <v>52644</v>
      </c>
      <c r="I43" s="144">
        <v>219</v>
      </c>
      <c r="J43" s="144">
        <v>7405</v>
      </c>
      <c r="K43" s="35">
        <v>444</v>
      </c>
      <c r="L43" s="35">
        <v>375</v>
      </c>
      <c r="M43" s="147">
        <f t="shared" si="16"/>
        <v>61087</v>
      </c>
      <c r="N43" s="36">
        <f t="shared" si="17"/>
        <v>430.22649801391668</v>
      </c>
      <c r="O43" s="36">
        <f t="shared" si="18"/>
        <v>52.15229456010367</v>
      </c>
      <c r="P43" s="36">
        <f t="shared" si="19"/>
        <v>372.30611037552467</v>
      </c>
      <c r="Q43" s="36">
        <f t="shared" si="20"/>
        <v>5.768093078288306</v>
      </c>
    </row>
    <row r="44" spans="1:17" x14ac:dyDescent="0.2">
      <c r="A44" s="369"/>
      <c r="B44" s="33">
        <v>7</v>
      </c>
      <c r="C44" s="34">
        <v>44378</v>
      </c>
      <c r="D44" s="34">
        <v>44408</v>
      </c>
      <c r="E44" s="33">
        <v>33.450000000000003</v>
      </c>
      <c r="F44" s="147">
        <v>176.018</v>
      </c>
      <c r="G44" s="35">
        <f t="shared" si="15"/>
        <v>5887.8021000000008</v>
      </c>
      <c r="H44" s="35">
        <v>52644</v>
      </c>
      <c r="I44" s="35">
        <v>271</v>
      </c>
      <c r="J44" s="35">
        <v>9174</v>
      </c>
      <c r="K44" s="35">
        <v>550</v>
      </c>
      <c r="L44" s="35">
        <v>465</v>
      </c>
      <c r="M44" s="147">
        <f t="shared" si="16"/>
        <v>63104</v>
      </c>
      <c r="N44" s="36">
        <f t="shared" si="17"/>
        <v>358.50878887386517</v>
      </c>
      <c r="O44" s="36">
        <f t="shared" si="18"/>
        <v>52.119669579247578</v>
      </c>
      <c r="P44" s="36">
        <f t="shared" si="19"/>
        <v>300.62266359122361</v>
      </c>
      <c r="Q44" s="36">
        <f t="shared" si="20"/>
        <v>5.7664557033939712</v>
      </c>
    </row>
    <row r="45" spans="1:17" x14ac:dyDescent="0.2">
      <c r="A45" s="369"/>
      <c r="B45" s="33">
        <v>8</v>
      </c>
      <c r="C45" s="34">
        <v>44409</v>
      </c>
      <c r="D45" s="34">
        <v>44439</v>
      </c>
      <c r="E45" s="33">
        <v>33.4</v>
      </c>
      <c r="F45" s="147">
        <v>168</v>
      </c>
      <c r="G45" s="35">
        <f t="shared" si="15"/>
        <v>5611.2</v>
      </c>
      <c r="H45" s="35">
        <v>52644</v>
      </c>
      <c r="I45" s="35">
        <v>258</v>
      </c>
      <c r="J45" s="35">
        <v>8751</v>
      </c>
      <c r="K45" s="35">
        <v>525</v>
      </c>
      <c r="L45" s="35">
        <v>445</v>
      </c>
      <c r="M45" s="147">
        <f t="shared" si="16"/>
        <v>62623</v>
      </c>
      <c r="N45" s="36">
        <v>0</v>
      </c>
      <c r="O45" s="36">
        <v>0</v>
      </c>
      <c r="P45" s="36">
        <v>0</v>
      </c>
      <c r="Q45" s="36">
        <v>0</v>
      </c>
    </row>
    <row r="46" spans="1:17" x14ac:dyDescent="0.2">
      <c r="A46" s="369"/>
      <c r="B46" s="33">
        <v>9</v>
      </c>
      <c r="C46" s="34">
        <v>44440</v>
      </c>
      <c r="D46" s="34">
        <v>44469</v>
      </c>
      <c r="E46" s="33">
        <v>33.348179000000002</v>
      </c>
      <c r="F46" s="147">
        <v>194.285</v>
      </c>
      <c r="G46" s="35">
        <f t="shared" si="15"/>
        <v>6479.0509570150007</v>
      </c>
      <c r="H46" s="35">
        <v>52644</v>
      </c>
      <c r="I46" s="35">
        <v>298</v>
      </c>
      <c r="J46" s="35">
        <v>10094</v>
      </c>
      <c r="K46" s="35">
        <v>605</v>
      </c>
      <c r="L46" s="35">
        <v>512</v>
      </c>
      <c r="M46" s="147">
        <f t="shared" si="16"/>
        <v>64153</v>
      </c>
      <c r="N46" s="36">
        <f t="shared" si="17"/>
        <v>330.20047867823047</v>
      </c>
      <c r="O46" s="36">
        <f t="shared" si="18"/>
        <v>51.954602774274903</v>
      </c>
      <c r="P46" s="36">
        <f t="shared" si="19"/>
        <v>272.4965900609929</v>
      </c>
      <c r="Q46" s="36">
        <f t="shared" si="20"/>
        <v>5.7492858429626583</v>
      </c>
    </row>
    <row r="47" spans="1:17" x14ac:dyDescent="0.2">
      <c r="A47" s="369"/>
      <c r="B47" s="33">
        <v>10</v>
      </c>
      <c r="C47" s="34">
        <v>44470</v>
      </c>
      <c r="D47" s="34">
        <v>44500</v>
      </c>
      <c r="E47" s="33">
        <v>33.659999999999997</v>
      </c>
      <c r="F47" s="147">
        <f>2078+1175</f>
        <v>3253</v>
      </c>
      <c r="G47" s="35">
        <f t="shared" si="15"/>
        <v>109495.98</v>
      </c>
      <c r="H47" s="35">
        <f>22202+16035</f>
        <v>38237</v>
      </c>
      <c r="I47" s="35">
        <f>4241+2400</f>
        <v>6641</v>
      </c>
      <c r="J47" s="35">
        <f>344386+194882</f>
        <v>539268</v>
      </c>
      <c r="K47" s="35">
        <f>6534+3708+3698+2133</f>
        <v>16073</v>
      </c>
      <c r="L47" s="35">
        <f>5529+3129</f>
        <v>8658</v>
      </c>
      <c r="M47" s="147">
        <f t="shared" si="16"/>
        <v>608877</v>
      </c>
      <c r="N47" s="36">
        <f t="shared" si="17"/>
        <v>187.17399323701198</v>
      </c>
      <c r="O47" s="36">
        <f t="shared" si="18"/>
        <v>165.77559176145095</v>
      </c>
      <c r="P47" s="36">
        <f t="shared" si="19"/>
        <v>13.795880725484169</v>
      </c>
      <c r="Q47" s="36">
        <f t="shared" si="20"/>
        <v>7.6025207500768524</v>
      </c>
    </row>
    <row r="48" spans="1:17" x14ac:dyDescent="0.2">
      <c r="A48" s="369"/>
      <c r="B48" s="33">
        <v>11</v>
      </c>
      <c r="C48" s="34">
        <v>44501</v>
      </c>
      <c r="D48" s="34">
        <v>44530</v>
      </c>
      <c r="E48" s="33">
        <v>33.665100000000002</v>
      </c>
      <c r="F48" s="147">
        <v>6975</v>
      </c>
      <c r="G48" s="35">
        <f t="shared" si="15"/>
        <v>234814.07250000001</v>
      </c>
      <c r="H48" s="35">
        <v>37004</v>
      </c>
      <c r="I48" s="35">
        <v>14244</v>
      </c>
      <c r="J48" s="35">
        <v>1156531</v>
      </c>
      <c r="K48" s="35">
        <f>21943+12078</f>
        <v>34021</v>
      </c>
      <c r="L48" s="35">
        <v>18569</v>
      </c>
      <c r="M48" s="147">
        <f t="shared" si="16"/>
        <v>1260369</v>
      </c>
      <c r="N48" s="36">
        <f t="shared" si="17"/>
        <v>180.69806451612902</v>
      </c>
      <c r="O48" s="36">
        <f t="shared" si="18"/>
        <v>165.81089605734766</v>
      </c>
      <c r="P48" s="36">
        <f t="shared" si="19"/>
        <v>7.3473835125448028</v>
      </c>
      <c r="Q48" s="36">
        <f t="shared" si="20"/>
        <v>7.5397849462365594</v>
      </c>
    </row>
    <row r="49" spans="1:17" ht="15" thickBot="1" x14ac:dyDescent="0.25">
      <c r="A49" s="369"/>
      <c r="B49" s="33">
        <v>12</v>
      </c>
      <c r="C49" s="34">
        <v>44531</v>
      </c>
      <c r="D49" s="34">
        <v>44561</v>
      </c>
      <c r="E49" s="33">
        <v>34.073599999999999</v>
      </c>
      <c r="F49" s="147">
        <v>9495</v>
      </c>
      <c r="G49" s="35">
        <f t="shared" si="15"/>
        <v>323528.83199999999</v>
      </c>
      <c r="H49" s="35">
        <f>38237+382</f>
        <v>38619</v>
      </c>
      <c r="I49" s="35">
        <v>19629</v>
      </c>
      <c r="J49" s="35">
        <v>1593786</v>
      </c>
      <c r="K49" s="35">
        <f>30239+16134</f>
        <v>46373</v>
      </c>
      <c r="L49" s="35">
        <v>25588</v>
      </c>
      <c r="M49" s="147">
        <f t="shared" si="16"/>
        <v>1723995</v>
      </c>
      <c r="N49" s="36">
        <f t="shared" si="17"/>
        <v>181.56872037914692</v>
      </c>
      <c r="O49" s="36">
        <f t="shared" si="18"/>
        <v>167.85529225908374</v>
      </c>
      <c r="P49" s="36">
        <f t="shared" si="19"/>
        <v>6.1345971563981045</v>
      </c>
      <c r="Q49" s="36">
        <f t="shared" si="20"/>
        <v>7.5788309636650872</v>
      </c>
    </row>
    <row r="50" spans="1:17" ht="27" customHeight="1" thickTop="1" thickBot="1" x14ac:dyDescent="0.25">
      <c r="A50" s="361" t="s">
        <v>6</v>
      </c>
      <c r="B50" s="362"/>
      <c r="C50" s="362"/>
      <c r="D50" s="363"/>
      <c r="E50" s="49">
        <f>+G50/F50</f>
        <v>33.844551101758604</v>
      </c>
      <c r="F50" s="40">
        <f t="shared" ref="F50:M50" si="21">SUM(F38:F49)</f>
        <v>42844.888999999996</v>
      </c>
      <c r="G50" s="40">
        <f t="shared" si="21"/>
        <v>1450066.0352096749</v>
      </c>
      <c r="H50" s="40">
        <f t="shared" si="21"/>
        <v>587656</v>
      </c>
      <c r="I50" s="40">
        <f t="shared" si="21"/>
        <v>76496</v>
      </c>
      <c r="J50" s="40">
        <f t="shared" si="21"/>
        <v>4508306</v>
      </c>
      <c r="K50" s="40">
        <f t="shared" si="21"/>
        <v>169561</v>
      </c>
      <c r="L50" s="40">
        <f t="shared" si="21"/>
        <v>114667</v>
      </c>
      <c r="M50" s="40">
        <f t="shared" si="21"/>
        <v>5456686</v>
      </c>
      <c r="N50" s="41">
        <f t="shared" si="17"/>
        <v>127.35908826838134</v>
      </c>
      <c r="O50" s="41">
        <f t="shared" si="18"/>
        <v>105.22389263279456</v>
      </c>
      <c r="P50" s="41">
        <f t="shared" si="19"/>
        <v>15.501312186851507</v>
      </c>
      <c r="Q50" s="41">
        <f t="shared" si="20"/>
        <v>6.6338834487352747</v>
      </c>
    </row>
    <row r="51" spans="1:17" ht="31.5" customHeight="1" thickTop="1" x14ac:dyDescent="0.2">
      <c r="A51" s="98" t="s">
        <v>86</v>
      </c>
      <c r="B51" s="355" t="s">
        <v>181</v>
      </c>
      <c r="C51" s="355"/>
      <c r="D51" s="355"/>
      <c r="E51" s="66" t="s">
        <v>180</v>
      </c>
      <c r="F51" s="99">
        <v>25</v>
      </c>
      <c r="G51" s="311"/>
      <c r="H51" s="99" t="s">
        <v>177</v>
      </c>
      <c r="I51" s="371" t="s">
        <v>293</v>
      </c>
      <c r="J51" s="371"/>
      <c r="K51" s="370" t="s">
        <v>182</v>
      </c>
      <c r="L51" s="370"/>
      <c r="M51" s="370"/>
      <c r="N51" s="370"/>
      <c r="O51" s="347">
        <v>258</v>
      </c>
      <c r="P51" s="346"/>
      <c r="Q51" s="346"/>
    </row>
    <row r="52" spans="1:17" ht="15" thickBot="1" x14ac:dyDescent="0.25"/>
    <row r="53" spans="1:17" ht="42.75" customHeight="1" thickTop="1" thickBot="1" x14ac:dyDescent="0.25">
      <c r="A53" s="364" t="s">
        <v>64</v>
      </c>
      <c r="B53" s="366" t="s">
        <v>0</v>
      </c>
      <c r="C53" s="360" t="s">
        <v>5</v>
      </c>
      <c r="D53" s="360"/>
      <c r="E53" s="360" t="s">
        <v>65</v>
      </c>
      <c r="F53" s="360" t="s">
        <v>2</v>
      </c>
      <c r="G53" s="360"/>
      <c r="H53" s="357" t="s">
        <v>13</v>
      </c>
      <c r="I53" s="358"/>
      <c r="J53" s="358"/>
      <c r="K53" s="358"/>
      <c r="L53" s="358"/>
      <c r="M53" s="358"/>
      <c r="N53" s="357" t="s">
        <v>66</v>
      </c>
      <c r="O53" s="358"/>
      <c r="P53" s="358"/>
      <c r="Q53" s="359"/>
    </row>
    <row r="54" spans="1:17" ht="51.75" customHeight="1" thickTop="1" thickBot="1" x14ac:dyDescent="0.25">
      <c r="A54" s="365"/>
      <c r="B54" s="367"/>
      <c r="C54" s="65" t="s">
        <v>3</v>
      </c>
      <c r="D54" s="65" t="s">
        <v>4</v>
      </c>
      <c r="E54" s="360"/>
      <c r="F54" s="65" t="s">
        <v>67</v>
      </c>
      <c r="G54" s="65" t="s">
        <v>1</v>
      </c>
      <c r="H54" s="65" t="s">
        <v>429</v>
      </c>
      <c r="I54" s="65" t="s">
        <v>15</v>
      </c>
      <c r="J54" s="65" t="s">
        <v>16</v>
      </c>
      <c r="K54" s="63" t="s">
        <v>431</v>
      </c>
      <c r="L54" s="63" t="s">
        <v>26</v>
      </c>
      <c r="M54" s="63" t="s">
        <v>19</v>
      </c>
      <c r="N54" s="64" t="s">
        <v>6</v>
      </c>
      <c r="O54" s="64" t="s">
        <v>21</v>
      </c>
      <c r="P54" s="64" t="s">
        <v>20</v>
      </c>
      <c r="Q54" s="64" t="s">
        <v>27</v>
      </c>
    </row>
    <row r="55" spans="1:17" ht="15.75" customHeight="1" thickTop="1" x14ac:dyDescent="0.2">
      <c r="A55" s="368" t="s">
        <v>348</v>
      </c>
      <c r="B55" s="29">
        <v>1</v>
      </c>
      <c r="C55" s="30">
        <v>44197</v>
      </c>
      <c r="D55" s="30">
        <v>44227</v>
      </c>
      <c r="E55" s="29">
        <v>34.042700000000004</v>
      </c>
      <c r="F55" s="146">
        <v>17788.384999999998</v>
      </c>
      <c r="G55" s="31">
        <f>+F55*E55</f>
        <v>605564.65403950005</v>
      </c>
      <c r="H55" s="35">
        <v>123354</v>
      </c>
      <c r="I55" s="31">
        <v>27856</v>
      </c>
      <c r="J55" s="31">
        <v>943470</v>
      </c>
      <c r="K55" s="31">
        <v>56589</v>
      </c>
      <c r="L55" s="31">
        <v>47884</v>
      </c>
      <c r="M55" s="146">
        <f>+L55+K55+J55+I55+H55</f>
        <v>1199153</v>
      </c>
      <c r="N55" s="32">
        <f>+M55/F55</f>
        <v>67.412134378697118</v>
      </c>
      <c r="O55" s="32">
        <f>+J55/F55</f>
        <v>53.038541722590338</v>
      </c>
      <c r="P55" s="32">
        <f>+(H55+I55)/F55</f>
        <v>8.50049062913806</v>
      </c>
      <c r="Q55" s="32">
        <f>+(K55+L55)/F55</f>
        <v>5.8731020269687217</v>
      </c>
    </row>
    <row r="56" spans="1:17" x14ac:dyDescent="0.2">
      <c r="A56" s="369"/>
      <c r="B56" s="33">
        <v>2</v>
      </c>
      <c r="C56" s="34">
        <v>44228</v>
      </c>
      <c r="D56" s="34">
        <v>44255</v>
      </c>
      <c r="E56" s="33">
        <v>33.796999999999997</v>
      </c>
      <c r="F56" s="147">
        <v>7742.6459999999997</v>
      </c>
      <c r="G56" s="35">
        <f>+F56*E56</f>
        <v>261678.20686199996</v>
      </c>
      <c r="H56" s="35">
        <v>123354</v>
      </c>
      <c r="I56" s="35">
        <v>12037</v>
      </c>
      <c r="J56" s="35">
        <v>407694</v>
      </c>
      <c r="K56" s="35">
        <v>24451</v>
      </c>
      <c r="L56" s="35">
        <v>20689</v>
      </c>
      <c r="M56" s="147">
        <f t="shared" ref="M56:M66" si="22">+L56+K56+J56+I56+H56</f>
        <v>588225</v>
      </c>
      <c r="N56" s="36">
        <f t="shared" ref="N56:N67" si="23">+M56/F56</f>
        <v>75.972090161425442</v>
      </c>
      <c r="O56" s="36">
        <f t="shared" ref="O56:O67" si="24">+J56/F56</f>
        <v>52.655642528406958</v>
      </c>
      <c r="P56" s="36">
        <f t="shared" ref="P56:P67" si="25">+(H56+I56)/F56</f>
        <v>17.486399352366103</v>
      </c>
      <c r="Q56" s="36">
        <f t="shared" ref="Q56:Q67" si="26">+(K56+L56)/F56</f>
        <v>5.8300482806523766</v>
      </c>
    </row>
    <row r="57" spans="1:17" x14ac:dyDescent="0.2">
      <c r="A57" s="369"/>
      <c r="B57" s="33">
        <v>3</v>
      </c>
      <c r="C57" s="34">
        <v>44256</v>
      </c>
      <c r="D57" s="34">
        <v>44286</v>
      </c>
      <c r="E57" s="33">
        <v>33.649500000000003</v>
      </c>
      <c r="F57" s="147">
        <v>1059.5719999999999</v>
      </c>
      <c r="G57" s="35">
        <f t="shared" ref="G57:G66" si="27">+F57*E57</f>
        <v>35654.068013999997</v>
      </c>
      <c r="H57" s="35">
        <v>123354</v>
      </c>
      <c r="I57" s="35">
        <v>1640</v>
      </c>
      <c r="J57" s="35">
        <v>55549</v>
      </c>
      <c r="K57" s="35">
        <v>3332</v>
      </c>
      <c r="L57" s="35">
        <v>2820</v>
      </c>
      <c r="M57" s="147">
        <f t="shared" si="22"/>
        <v>186695</v>
      </c>
      <c r="N57" s="36">
        <f t="shared" si="23"/>
        <v>176.19850279169327</v>
      </c>
      <c r="O57" s="36">
        <f t="shared" si="24"/>
        <v>52.425885168728513</v>
      </c>
      <c r="P57" s="36">
        <f t="shared" si="25"/>
        <v>117.96649968100328</v>
      </c>
      <c r="Q57" s="36">
        <f t="shared" si="26"/>
        <v>5.8061179419614719</v>
      </c>
    </row>
    <row r="58" spans="1:17" x14ac:dyDescent="0.2">
      <c r="A58" s="369"/>
      <c r="B58" s="33">
        <v>4</v>
      </c>
      <c r="C58" s="34">
        <v>44287</v>
      </c>
      <c r="D58" s="34">
        <v>44316</v>
      </c>
      <c r="E58" s="33">
        <v>33.482999999999997</v>
      </c>
      <c r="F58" s="147">
        <v>1814.424</v>
      </c>
      <c r="G58" s="35">
        <f t="shared" si="27"/>
        <v>60752.358791999992</v>
      </c>
      <c r="H58" s="35">
        <v>123354</v>
      </c>
      <c r="I58" s="35">
        <v>2795</v>
      </c>
      <c r="J58" s="35">
        <v>94652</v>
      </c>
      <c r="K58" s="35">
        <v>5677</v>
      </c>
      <c r="L58" s="35">
        <v>4805</v>
      </c>
      <c r="M58" s="147">
        <f t="shared" si="22"/>
        <v>231283</v>
      </c>
      <c r="N58" s="36">
        <f t="shared" si="23"/>
        <v>127.46910314237466</v>
      </c>
      <c r="O58" s="36">
        <f t="shared" si="24"/>
        <v>52.166417551796052</v>
      </c>
      <c r="P58" s="36">
        <f t="shared" si="25"/>
        <v>69.52564560433504</v>
      </c>
      <c r="Q58" s="36">
        <f t="shared" si="26"/>
        <v>5.777039986243568</v>
      </c>
    </row>
    <row r="59" spans="1:17" x14ac:dyDescent="0.2">
      <c r="A59" s="369"/>
      <c r="B59" s="33">
        <v>5</v>
      </c>
      <c r="C59" s="34">
        <v>44317</v>
      </c>
      <c r="D59" s="34">
        <v>44347</v>
      </c>
      <c r="E59" s="33">
        <v>33.54</v>
      </c>
      <c r="F59" s="147">
        <v>808.79600000000005</v>
      </c>
      <c r="G59" s="35">
        <f t="shared" si="27"/>
        <v>27127.01784</v>
      </c>
      <c r="H59" s="35">
        <v>123354</v>
      </c>
      <c r="I59" s="35">
        <v>1248</v>
      </c>
      <c r="J59" s="35">
        <v>42264</v>
      </c>
      <c r="K59" s="35">
        <v>2535</v>
      </c>
      <c r="L59" s="35">
        <v>2144</v>
      </c>
      <c r="M59" s="147">
        <f t="shared" si="22"/>
        <v>171545</v>
      </c>
      <c r="N59" s="36">
        <f t="shared" si="23"/>
        <v>212.0992190861478</v>
      </c>
      <c r="O59" s="36">
        <f t="shared" si="24"/>
        <v>52.255451312815588</v>
      </c>
      <c r="P59" s="36">
        <f t="shared" si="25"/>
        <v>154.05862541357772</v>
      </c>
      <c r="Q59" s="36">
        <f t="shared" si="26"/>
        <v>5.7851423597544986</v>
      </c>
    </row>
    <row r="60" spans="1:17" x14ac:dyDescent="0.2">
      <c r="A60" s="369"/>
      <c r="B60" s="33">
        <v>6</v>
      </c>
      <c r="C60" s="34">
        <v>44348</v>
      </c>
      <c r="D60" s="34">
        <v>44377</v>
      </c>
      <c r="E60" s="33">
        <v>33.472999999999999</v>
      </c>
      <c r="F60" s="147">
        <v>196.09899999999999</v>
      </c>
      <c r="G60" s="35">
        <f t="shared" si="27"/>
        <v>6564.0218269999996</v>
      </c>
      <c r="H60" s="35">
        <v>123354</v>
      </c>
      <c r="I60" s="35">
        <v>302</v>
      </c>
      <c r="J60" s="35">
        <v>10227</v>
      </c>
      <c r="K60" s="35">
        <v>613</v>
      </c>
      <c r="L60" s="35">
        <v>519</v>
      </c>
      <c r="M60" s="147">
        <f t="shared" si="22"/>
        <v>135015</v>
      </c>
      <c r="N60" s="36">
        <f t="shared" si="23"/>
        <v>688.50427590145796</v>
      </c>
      <c r="O60" s="36">
        <f t="shared" si="24"/>
        <v>52.152229231153655</v>
      </c>
      <c r="P60" s="36">
        <f t="shared" si="25"/>
        <v>630.57945221546265</v>
      </c>
      <c r="Q60" s="36">
        <f t="shared" si="26"/>
        <v>5.7725944548416877</v>
      </c>
    </row>
    <row r="61" spans="1:17" x14ac:dyDescent="0.2">
      <c r="A61" s="369"/>
      <c r="B61" s="33">
        <v>7</v>
      </c>
      <c r="C61" s="34">
        <v>44378</v>
      </c>
      <c r="D61" s="34">
        <v>44408</v>
      </c>
      <c r="E61" s="33">
        <v>33.450000000000003</v>
      </c>
      <c r="F61" s="147">
        <v>175.51</v>
      </c>
      <c r="G61" s="35">
        <f t="shared" si="27"/>
        <v>5870.8095000000003</v>
      </c>
      <c r="H61" s="35">
        <v>123354</v>
      </c>
      <c r="I61" s="35">
        <v>270</v>
      </c>
      <c r="J61" s="35">
        <v>9147</v>
      </c>
      <c r="K61" s="35">
        <v>549</v>
      </c>
      <c r="L61" s="35">
        <v>465</v>
      </c>
      <c r="M61" s="147">
        <f t="shared" si="22"/>
        <v>133785</v>
      </c>
      <c r="N61" s="36">
        <f t="shared" si="23"/>
        <v>762.26425844681216</v>
      </c>
      <c r="O61" s="36">
        <f t="shared" si="24"/>
        <v>52.11668850777734</v>
      </c>
      <c r="P61" s="36">
        <f t="shared" si="25"/>
        <v>704.37012136060628</v>
      </c>
      <c r="Q61" s="36">
        <f t="shared" si="26"/>
        <v>5.7774485784285803</v>
      </c>
    </row>
    <row r="62" spans="1:17" x14ac:dyDescent="0.2">
      <c r="A62" s="369"/>
      <c r="B62" s="33">
        <v>8</v>
      </c>
      <c r="C62" s="34">
        <v>44409</v>
      </c>
      <c r="D62" s="34">
        <v>44439</v>
      </c>
      <c r="E62" s="33">
        <v>33.4</v>
      </c>
      <c r="F62" s="147">
        <v>184</v>
      </c>
      <c r="G62" s="35">
        <f t="shared" si="27"/>
        <v>6145.5999999999995</v>
      </c>
      <c r="H62" s="35">
        <v>123354</v>
      </c>
      <c r="I62" s="35">
        <v>282</v>
      </c>
      <c r="J62" s="35">
        <v>9557</v>
      </c>
      <c r="K62" s="35">
        <v>573</v>
      </c>
      <c r="L62" s="35">
        <v>486</v>
      </c>
      <c r="M62" s="147">
        <f t="shared" si="22"/>
        <v>134252</v>
      </c>
      <c r="N62" s="36">
        <f t="shared" si="23"/>
        <v>729.63043478260875</v>
      </c>
      <c r="O62" s="36">
        <f t="shared" si="24"/>
        <v>51.940217391304351</v>
      </c>
      <c r="P62" s="36">
        <f t="shared" si="25"/>
        <v>671.93478260869563</v>
      </c>
      <c r="Q62" s="36">
        <f t="shared" si="26"/>
        <v>5.7554347826086953</v>
      </c>
    </row>
    <row r="63" spans="1:17" x14ac:dyDescent="0.2">
      <c r="A63" s="369"/>
      <c r="B63" s="33">
        <v>9</v>
      </c>
      <c r="C63" s="34">
        <v>44440</v>
      </c>
      <c r="D63" s="34">
        <v>44469</v>
      </c>
      <c r="E63" s="33">
        <v>33.348179000000002</v>
      </c>
      <c r="F63" s="147">
        <v>406.34199999999998</v>
      </c>
      <c r="G63" s="35">
        <f t="shared" si="27"/>
        <v>13550.765751217999</v>
      </c>
      <c r="H63" s="35">
        <v>123354</v>
      </c>
      <c r="I63" s="35">
        <v>623</v>
      </c>
      <c r="J63" s="35">
        <v>21112</v>
      </c>
      <c r="K63" s="35">
        <v>1266</v>
      </c>
      <c r="L63" s="35">
        <v>1072</v>
      </c>
      <c r="M63" s="147">
        <f t="shared" si="22"/>
        <v>147427</v>
      </c>
      <c r="N63" s="36">
        <f t="shared" si="23"/>
        <v>362.81506711095579</v>
      </c>
      <c r="O63" s="36">
        <f t="shared" si="24"/>
        <v>51.956233911335772</v>
      </c>
      <c r="P63" s="36">
        <f t="shared" si="25"/>
        <v>305.10505928503579</v>
      </c>
      <c r="Q63" s="36">
        <f t="shared" si="26"/>
        <v>5.7537739145842668</v>
      </c>
    </row>
    <row r="64" spans="1:17" x14ac:dyDescent="0.2">
      <c r="A64" s="369"/>
      <c r="B64" s="33">
        <v>10</v>
      </c>
      <c r="C64" s="34">
        <v>44470</v>
      </c>
      <c r="D64" s="34">
        <v>44500</v>
      </c>
      <c r="E64" s="33">
        <v>33.665999999999997</v>
      </c>
      <c r="F64" s="147">
        <v>7077</v>
      </c>
      <c r="G64" s="35">
        <f t="shared" si="27"/>
        <v>238254.28199999998</v>
      </c>
      <c r="H64" s="35">
        <v>99594</v>
      </c>
      <c r="I64" s="35">
        <v>14453</v>
      </c>
      <c r="J64" s="35">
        <v>1173535</v>
      </c>
      <c r="K64" s="35">
        <f>22266+12876</f>
        <v>35142</v>
      </c>
      <c r="L64" s="35">
        <v>18841</v>
      </c>
      <c r="M64" s="147">
        <f t="shared" si="22"/>
        <v>1341565</v>
      </c>
      <c r="N64" s="36">
        <f t="shared" si="23"/>
        <v>189.56690688144695</v>
      </c>
      <c r="O64" s="36">
        <f t="shared" si="24"/>
        <v>165.82379539352834</v>
      </c>
      <c r="P64" s="36">
        <f t="shared" si="25"/>
        <v>16.115161791719654</v>
      </c>
      <c r="Q64" s="36">
        <f t="shared" si="26"/>
        <v>7.6279496961989546</v>
      </c>
    </row>
    <row r="65" spans="1:17" x14ac:dyDescent="0.2">
      <c r="A65" s="369"/>
      <c r="B65" s="33">
        <v>11</v>
      </c>
      <c r="C65" s="34">
        <v>44501</v>
      </c>
      <c r="D65" s="34">
        <v>44530</v>
      </c>
      <c r="E65" s="33">
        <v>33.665399999999998</v>
      </c>
      <c r="F65" s="147">
        <v>11733</v>
      </c>
      <c r="G65" s="35">
        <f t="shared" si="27"/>
        <v>394996.13819999999</v>
      </c>
      <c r="H65" s="35">
        <v>96381</v>
      </c>
      <c r="I65" s="35">
        <v>23958</v>
      </c>
      <c r="J65" s="35">
        <v>1945330</v>
      </c>
      <c r="K65" s="35">
        <f>36909+20657</f>
        <v>57566</v>
      </c>
      <c r="L65" s="35">
        <v>31232</v>
      </c>
      <c r="M65" s="147">
        <f t="shared" si="22"/>
        <v>2154467</v>
      </c>
      <c r="N65" s="36">
        <f t="shared" si="23"/>
        <v>183.62456319781813</v>
      </c>
      <c r="O65" s="36">
        <f t="shared" si="24"/>
        <v>165.79988067842837</v>
      </c>
      <c r="P65" s="36">
        <f t="shared" si="25"/>
        <v>10.256456149322425</v>
      </c>
      <c r="Q65" s="36">
        <f t="shared" si="26"/>
        <v>7.5682263700673316</v>
      </c>
    </row>
    <row r="66" spans="1:17" ht="15" thickBot="1" x14ac:dyDescent="0.25">
      <c r="A66" s="369"/>
      <c r="B66" s="33">
        <v>12</v>
      </c>
      <c r="C66" s="34">
        <v>44531</v>
      </c>
      <c r="D66" s="34">
        <v>44561</v>
      </c>
      <c r="E66" s="33">
        <v>34.074199999999998</v>
      </c>
      <c r="F66" s="147">
        <v>11857</v>
      </c>
      <c r="G66" s="35">
        <f t="shared" si="27"/>
        <v>404017.78939999995</v>
      </c>
      <c r="H66" s="35">
        <f>99594+996</f>
        <v>100590</v>
      </c>
      <c r="I66" s="35">
        <v>24512</v>
      </c>
      <c r="J66" s="35">
        <v>1990292</v>
      </c>
      <c r="K66" s="35">
        <f>37762+20148</f>
        <v>57910</v>
      </c>
      <c r="L66" s="35">
        <v>31954</v>
      </c>
      <c r="M66" s="147">
        <f t="shared" si="22"/>
        <v>2205258</v>
      </c>
      <c r="N66" s="36">
        <f t="shared" si="23"/>
        <v>185.98785527536475</v>
      </c>
      <c r="O66" s="36">
        <f t="shared" si="24"/>
        <v>167.85797419246015</v>
      </c>
      <c r="P66" s="36">
        <f t="shared" si="25"/>
        <v>10.550898203592814</v>
      </c>
      <c r="Q66" s="36">
        <f t="shared" si="26"/>
        <v>7.5789828793117993</v>
      </c>
    </row>
    <row r="67" spans="1:17" ht="27" customHeight="1" thickTop="1" thickBot="1" x14ac:dyDescent="0.25">
      <c r="A67" s="361" t="s">
        <v>6</v>
      </c>
      <c r="B67" s="362"/>
      <c r="C67" s="362"/>
      <c r="D67" s="363"/>
      <c r="E67" s="49">
        <f>+G67/F67</f>
        <v>33.86064731739085</v>
      </c>
      <c r="F67" s="40">
        <f t="shared" ref="F67:M67" si="28">SUM(F55:F66)</f>
        <v>60842.77399999999</v>
      </c>
      <c r="G67" s="40">
        <f t="shared" si="28"/>
        <v>2060175.7122257175</v>
      </c>
      <c r="H67" s="40">
        <f t="shared" si="28"/>
        <v>1406751</v>
      </c>
      <c r="I67" s="40">
        <f t="shared" si="28"/>
        <v>109976</v>
      </c>
      <c r="J67" s="40">
        <f t="shared" si="28"/>
        <v>6702829</v>
      </c>
      <c r="K67" s="40">
        <f t="shared" si="28"/>
        <v>246203</v>
      </c>
      <c r="L67" s="40">
        <f t="shared" si="28"/>
        <v>162911</v>
      </c>
      <c r="M67" s="40">
        <f t="shared" si="28"/>
        <v>8628670</v>
      </c>
      <c r="N67" s="41">
        <f t="shared" si="23"/>
        <v>141.81914190828974</v>
      </c>
      <c r="O67" s="41">
        <f t="shared" si="24"/>
        <v>110.16639379394505</v>
      </c>
      <c r="P67" s="41">
        <f t="shared" si="25"/>
        <v>24.928629979954568</v>
      </c>
      <c r="Q67" s="41">
        <f t="shared" si="26"/>
        <v>6.7241181343901264</v>
      </c>
    </row>
    <row r="68" spans="1:17" ht="36" customHeight="1" thickTop="1" x14ac:dyDescent="0.2">
      <c r="A68" s="98" t="s">
        <v>86</v>
      </c>
      <c r="B68" s="355" t="s">
        <v>183</v>
      </c>
      <c r="C68" s="355"/>
      <c r="D68" s="355"/>
      <c r="E68" s="66" t="s">
        <v>180</v>
      </c>
      <c r="F68" s="99">
        <v>65</v>
      </c>
      <c r="G68" s="99"/>
      <c r="H68" s="99" t="s">
        <v>177</v>
      </c>
      <c r="I68" s="371">
        <v>35100000062658</v>
      </c>
      <c r="J68" s="371"/>
      <c r="K68" s="370" t="s">
        <v>182</v>
      </c>
      <c r="L68" s="370"/>
      <c r="M68" s="370"/>
      <c r="N68" s="370"/>
      <c r="O68" s="44">
        <v>672</v>
      </c>
      <c r="P68" s="44"/>
      <c r="Q68" s="44"/>
    </row>
    <row r="69" spans="1:17" ht="15" thickBot="1" x14ac:dyDescent="0.25"/>
    <row r="70" spans="1:17" ht="42.75" customHeight="1" thickTop="1" thickBot="1" x14ac:dyDescent="0.25">
      <c r="A70" s="364" t="s">
        <v>64</v>
      </c>
      <c r="B70" s="366" t="s">
        <v>0</v>
      </c>
      <c r="C70" s="360" t="s">
        <v>5</v>
      </c>
      <c r="D70" s="360"/>
      <c r="E70" s="360" t="s">
        <v>65</v>
      </c>
      <c r="F70" s="360" t="s">
        <v>2</v>
      </c>
      <c r="G70" s="360"/>
      <c r="H70" s="357" t="s">
        <v>308</v>
      </c>
      <c r="I70" s="358"/>
      <c r="J70" s="358"/>
      <c r="K70" s="358"/>
      <c r="L70" s="358"/>
      <c r="M70" s="358"/>
      <c r="N70" s="357" t="s">
        <v>66</v>
      </c>
      <c r="O70" s="358"/>
      <c r="P70" s="358"/>
      <c r="Q70" s="359"/>
    </row>
    <row r="71" spans="1:17" ht="46.5" thickTop="1" thickBot="1" x14ac:dyDescent="0.25">
      <c r="A71" s="365"/>
      <c r="B71" s="367"/>
      <c r="C71" s="171" t="s">
        <v>3</v>
      </c>
      <c r="D71" s="171" t="s">
        <v>4</v>
      </c>
      <c r="E71" s="360"/>
      <c r="F71" s="171" t="s">
        <v>306</v>
      </c>
      <c r="G71" s="171" t="s">
        <v>307</v>
      </c>
      <c r="H71" s="171" t="s">
        <v>14</v>
      </c>
      <c r="I71" s="171" t="s">
        <v>15</v>
      </c>
      <c r="J71" s="171" t="s">
        <v>16</v>
      </c>
      <c r="K71" s="167" t="s">
        <v>379</v>
      </c>
      <c r="L71" s="167" t="s">
        <v>26</v>
      </c>
      <c r="M71" s="167" t="s">
        <v>19</v>
      </c>
      <c r="N71" s="170" t="s">
        <v>6</v>
      </c>
      <c r="O71" s="170" t="s">
        <v>21</v>
      </c>
      <c r="P71" s="170" t="s">
        <v>20</v>
      </c>
      <c r="Q71" s="170" t="s">
        <v>27</v>
      </c>
    </row>
    <row r="72" spans="1:17" ht="72" customHeight="1" thickTop="1" thickBot="1" x14ac:dyDescent="0.25">
      <c r="A72" s="168" t="s">
        <v>301</v>
      </c>
      <c r="B72" s="149">
        <v>1</v>
      </c>
      <c r="C72" s="177">
        <v>44197</v>
      </c>
      <c r="D72" s="177">
        <v>44561</v>
      </c>
      <c r="E72" s="149">
        <f>+G72/F72</f>
        <v>33.825459389752801</v>
      </c>
      <c r="F72" s="151">
        <f t="shared" ref="F72:M72" si="29">+F67+F50+F33+F16</f>
        <v>227204.01799999998</v>
      </c>
      <c r="G72" s="152">
        <f t="shared" si="29"/>
        <v>7685280.2840476641</v>
      </c>
      <c r="H72" s="152">
        <f t="shared" si="29"/>
        <v>4663711</v>
      </c>
      <c r="I72" s="152">
        <f t="shared" si="29"/>
        <v>403880</v>
      </c>
      <c r="J72" s="152">
        <f t="shared" si="29"/>
        <v>23539352</v>
      </c>
      <c r="K72" s="152">
        <f t="shared" si="29"/>
        <v>896541</v>
      </c>
      <c r="L72" s="152">
        <f t="shared" si="29"/>
        <v>607717</v>
      </c>
      <c r="M72" s="152">
        <f t="shared" si="29"/>
        <v>30111201</v>
      </c>
      <c r="N72" s="150">
        <f>+M72/F72</f>
        <v>132.52935077935109</v>
      </c>
      <c r="O72" s="150">
        <f>+J72/F72</f>
        <v>103.60447058643128</v>
      </c>
      <c r="P72" s="150">
        <f>+(H72+I72)/F72</f>
        <v>22.304143406477962</v>
      </c>
      <c r="Q72" s="150">
        <f>+(K72+L72)/F72</f>
        <v>6.6207367864418671</v>
      </c>
    </row>
    <row r="73" spans="1:17" ht="16.5" thickTop="1" thickBot="1" x14ac:dyDescent="0.25">
      <c r="A73" s="361" t="s">
        <v>6</v>
      </c>
      <c r="B73" s="362"/>
      <c r="C73" s="362"/>
      <c r="D73" s="363"/>
      <c r="E73" s="49">
        <f>+G73/F73</f>
        <v>33.825459389752801</v>
      </c>
      <c r="F73" s="40">
        <f>+F72</f>
        <v>227204.01799999998</v>
      </c>
      <c r="G73" s="40">
        <f t="shared" ref="G73:M73" si="30">SUM(G72:G72)</f>
        <v>7685280.2840476641</v>
      </c>
      <c r="H73" s="40">
        <f t="shared" si="30"/>
        <v>4663711</v>
      </c>
      <c r="I73" s="40">
        <f t="shared" si="30"/>
        <v>403880</v>
      </c>
      <c r="J73" s="40">
        <f t="shared" si="30"/>
        <v>23539352</v>
      </c>
      <c r="K73" s="40">
        <f t="shared" si="30"/>
        <v>896541</v>
      </c>
      <c r="L73" s="40">
        <f t="shared" si="30"/>
        <v>607717</v>
      </c>
      <c r="M73" s="40">
        <f t="shared" si="30"/>
        <v>30111201</v>
      </c>
      <c r="N73" s="41">
        <f t="shared" ref="N73" si="31">+M73/F73</f>
        <v>132.52935077935109</v>
      </c>
      <c r="O73" s="41">
        <f t="shared" ref="O73" si="32">+J73/F73</f>
        <v>103.60447058643128</v>
      </c>
      <c r="P73" s="41">
        <f t="shared" ref="P73" si="33">+(H73+I73)/F73</f>
        <v>22.304143406477962</v>
      </c>
      <c r="Q73" s="41">
        <f t="shared" ref="Q73" si="34">+(K73+L73)/F73</f>
        <v>6.6207367864418671</v>
      </c>
    </row>
    <row r="74" spans="1:17" ht="15" thickTop="1" x14ac:dyDescent="0.2"/>
    <row r="75" spans="1:17" ht="15" thickBot="1" x14ac:dyDescent="0.25"/>
    <row r="76" spans="1:17" ht="42.75" customHeight="1" thickTop="1" thickBot="1" x14ac:dyDescent="0.25">
      <c r="A76" s="376" t="s">
        <v>64</v>
      </c>
      <c r="B76" s="378" t="s">
        <v>0</v>
      </c>
      <c r="C76" s="375" t="s">
        <v>5</v>
      </c>
      <c r="D76" s="375"/>
      <c r="E76" s="375" t="s">
        <v>65</v>
      </c>
      <c r="F76" s="375" t="s">
        <v>2</v>
      </c>
      <c r="G76" s="375"/>
      <c r="H76" s="372" t="s">
        <v>13</v>
      </c>
      <c r="I76" s="373"/>
      <c r="J76" s="373"/>
      <c r="K76" s="373"/>
      <c r="L76" s="373"/>
      <c r="M76" s="373"/>
      <c r="N76" s="372" t="s">
        <v>66</v>
      </c>
      <c r="O76" s="373"/>
      <c r="P76" s="373"/>
      <c r="Q76" s="374"/>
    </row>
    <row r="77" spans="1:17" ht="51.75" customHeight="1" thickTop="1" thickBot="1" x14ac:dyDescent="0.25">
      <c r="A77" s="377"/>
      <c r="B77" s="379"/>
      <c r="C77" s="220" t="s">
        <v>3</v>
      </c>
      <c r="D77" s="220" t="s">
        <v>4</v>
      </c>
      <c r="E77" s="375"/>
      <c r="F77" s="220" t="s">
        <v>67</v>
      </c>
      <c r="G77" s="220" t="s">
        <v>1</v>
      </c>
      <c r="H77" s="220" t="s">
        <v>14</v>
      </c>
      <c r="I77" s="220" t="s">
        <v>15</v>
      </c>
      <c r="J77" s="220" t="s">
        <v>16</v>
      </c>
      <c r="K77" s="221" t="s">
        <v>379</v>
      </c>
      <c r="L77" s="221" t="s">
        <v>26</v>
      </c>
      <c r="M77" s="221" t="s">
        <v>19</v>
      </c>
      <c r="N77" s="222" t="s">
        <v>6</v>
      </c>
      <c r="O77" s="222" t="s">
        <v>21</v>
      </c>
      <c r="P77" s="222" t="s">
        <v>20</v>
      </c>
      <c r="Q77" s="222" t="s">
        <v>27</v>
      </c>
    </row>
    <row r="78" spans="1:17" ht="15.75" customHeight="1" thickTop="1" x14ac:dyDescent="0.2">
      <c r="A78" s="368" t="s">
        <v>337</v>
      </c>
      <c r="B78" s="29">
        <v>1</v>
      </c>
      <c r="C78" s="30">
        <v>44197</v>
      </c>
      <c r="D78" s="30">
        <v>44227</v>
      </c>
      <c r="E78" s="29">
        <f t="shared" ref="E78:E89" si="35">+E38</f>
        <v>34.042630000000003</v>
      </c>
      <c r="F78" s="223">
        <f t="shared" ref="F78:F89" si="36">+F55+F38+F21+F4</f>
        <v>49041.812000000005</v>
      </c>
      <c r="G78" s="31">
        <f>+F78*E78</f>
        <v>1669512.2604455603</v>
      </c>
      <c r="H78" s="35">
        <f t="shared" ref="H78:L89" si="37">+H55+H38+H21+H4</f>
        <v>398544</v>
      </c>
      <c r="I78" s="31">
        <f t="shared" si="37"/>
        <v>76797</v>
      </c>
      <c r="J78" s="31">
        <f t="shared" si="37"/>
        <v>2601105</v>
      </c>
      <c r="K78" s="31">
        <f t="shared" si="37"/>
        <v>156013</v>
      </c>
      <c r="L78" s="31">
        <f t="shared" si="37"/>
        <v>132015</v>
      </c>
      <c r="M78" s="223">
        <f>+L78+K78+J78+I78+H78</f>
        <v>3364474</v>
      </c>
      <c r="N78" s="32">
        <f>+M78/F78</f>
        <v>68.604194314843014</v>
      </c>
      <c r="O78" s="32">
        <f>+J78/F78</f>
        <v>53.038517418565199</v>
      </c>
      <c r="P78" s="32">
        <f>+(H78+I78)/F78</f>
        <v>9.6925660087763461</v>
      </c>
      <c r="Q78" s="32">
        <f>+(K78+L78)/F78</f>
        <v>5.8731108875014648</v>
      </c>
    </row>
    <row r="79" spans="1:17" x14ac:dyDescent="0.2">
      <c r="A79" s="369"/>
      <c r="B79" s="33">
        <v>2</v>
      </c>
      <c r="C79" s="34">
        <v>44228</v>
      </c>
      <c r="D79" s="34">
        <v>44255</v>
      </c>
      <c r="E79" s="33">
        <f t="shared" si="35"/>
        <v>33.796999999999997</v>
      </c>
      <c r="F79" s="224">
        <f t="shared" si="36"/>
        <v>32836.919000000002</v>
      </c>
      <c r="G79" s="35">
        <f>+F79*E79</f>
        <v>1109789.3514429999</v>
      </c>
      <c r="H79" s="35">
        <f t="shared" si="37"/>
        <v>398544</v>
      </c>
      <c r="I79" s="35">
        <f t="shared" si="37"/>
        <v>51051</v>
      </c>
      <c r="J79" s="35">
        <f t="shared" si="37"/>
        <v>1729051</v>
      </c>
      <c r="K79" s="35">
        <f t="shared" si="37"/>
        <v>103696</v>
      </c>
      <c r="L79" s="35">
        <f t="shared" si="37"/>
        <v>87746</v>
      </c>
      <c r="M79" s="224">
        <f t="shared" ref="M79:M89" si="38">+L79+K79+J79+I79+H79</f>
        <v>2370088</v>
      </c>
      <c r="N79" s="36">
        <f t="shared" ref="N79:N90" si="39">+M79/F79</f>
        <v>72.1775389463305</v>
      </c>
      <c r="O79" s="36">
        <f t="shared" ref="O79:O90" si="40">+J79/F79</f>
        <v>52.655701346402196</v>
      </c>
      <c r="P79" s="36">
        <f t="shared" ref="P79:P90" si="41">+(H79+I79)/F79</f>
        <v>13.69175348028236</v>
      </c>
      <c r="Q79" s="36">
        <f t="shared" ref="Q79:Q90" si="42">+(K79+L79)/F79</f>
        <v>5.8300841196459388</v>
      </c>
    </row>
    <row r="80" spans="1:17" x14ac:dyDescent="0.2">
      <c r="A80" s="369"/>
      <c r="B80" s="33">
        <v>3</v>
      </c>
      <c r="C80" s="34">
        <v>44256</v>
      </c>
      <c r="D80" s="34">
        <v>44286</v>
      </c>
      <c r="E80" s="33">
        <f t="shared" si="35"/>
        <v>33.6496</v>
      </c>
      <c r="F80" s="224">
        <f t="shared" si="36"/>
        <v>21199.097999999998</v>
      </c>
      <c r="G80" s="35">
        <f t="shared" ref="G80:G89" si="43">+F80*E80</f>
        <v>713341.16806079994</v>
      </c>
      <c r="H80" s="35">
        <f t="shared" si="37"/>
        <v>398544</v>
      </c>
      <c r="I80" s="35">
        <f t="shared" si="37"/>
        <v>32813</v>
      </c>
      <c r="J80" s="35">
        <f t="shared" si="37"/>
        <v>1111384</v>
      </c>
      <c r="K80" s="35">
        <f t="shared" si="37"/>
        <v>66658</v>
      </c>
      <c r="L80" s="35">
        <f t="shared" si="37"/>
        <v>56407</v>
      </c>
      <c r="M80" s="224">
        <f t="shared" si="38"/>
        <v>1665806</v>
      </c>
      <c r="N80" s="36">
        <f t="shared" si="39"/>
        <v>78.579098035208858</v>
      </c>
      <c r="O80" s="36">
        <f t="shared" si="40"/>
        <v>52.42600416300732</v>
      </c>
      <c r="P80" s="36">
        <f t="shared" si="41"/>
        <v>20.347894047190124</v>
      </c>
      <c r="Q80" s="36">
        <f t="shared" si="42"/>
        <v>5.8051998250114227</v>
      </c>
    </row>
    <row r="81" spans="1:17" x14ac:dyDescent="0.2">
      <c r="A81" s="369"/>
      <c r="B81" s="33">
        <v>4</v>
      </c>
      <c r="C81" s="34">
        <v>44287</v>
      </c>
      <c r="D81" s="34">
        <v>44316</v>
      </c>
      <c r="E81" s="33">
        <f t="shared" si="35"/>
        <v>33.482999999999997</v>
      </c>
      <c r="F81" s="224">
        <f t="shared" si="36"/>
        <v>12814.272999999999</v>
      </c>
      <c r="G81" s="35">
        <f t="shared" si="43"/>
        <v>429060.30285899993</v>
      </c>
      <c r="H81" s="35">
        <f t="shared" si="37"/>
        <v>398544</v>
      </c>
      <c r="I81" s="35">
        <f t="shared" si="37"/>
        <v>19737</v>
      </c>
      <c r="J81" s="35">
        <f t="shared" si="37"/>
        <v>668470</v>
      </c>
      <c r="K81" s="35">
        <f t="shared" si="37"/>
        <v>40091</v>
      </c>
      <c r="L81" s="35">
        <f t="shared" si="37"/>
        <v>33926</v>
      </c>
      <c r="M81" s="224">
        <f t="shared" si="38"/>
        <v>1160768</v>
      </c>
      <c r="N81" s="36">
        <f t="shared" si="39"/>
        <v>90.583991772299541</v>
      </c>
      <c r="O81" s="36">
        <f t="shared" si="40"/>
        <v>52.166049529302214</v>
      </c>
      <c r="P81" s="36">
        <f t="shared" si="41"/>
        <v>32.641804962325999</v>
      </c>
      <c r="Q81" s="36">
        <f t="shared" si="42"/>
        <v>5.7761372806713265</v>
      </c>
    </row>
    <row r="82" spans="1:17" x14ac:dyDescent="0.2">
      <c r="A82" s="369"/>
      <c r="B82" s="33">
        <v>5</v>
      </c>
      <c r="C82" s="34">
        <v>44317</v>
      </c>
      <c r="D82" s="34">
        <v>44347</v>
      </c>
      <c r="E82" s="33">
        <f t="shared" si="35"/>
        <v>33.54</v>
      </c>
      <c r="F82" s="224">
        <f t="shared" si="36"/>
        <v>4772.57</v>
      </c>
      <c r="G82" s="35">
        <f t="shared" si="43"/>
        <v>160071.99779999998</v>
      </c>
      <c r="H82" s="35">
        <f t="shared" si="37"/>
        <v>398544</v>
      </c>
      <c r="I82" s="35">
        <f t="shared" si="37"/>
        <v>7363</v>
      </c>
      <c r="J82" s="35">
        <f t="shared" si="37"/>
        <v>249395</v>
      </c>
      <c r="K82" s="35">
        <f t="shared" si="37"/>
        <v>14957</v>
      </c>
      <c r="L82" s="35">
        <f t="shared" si="37"/>
        <v>12654</v>
      </c>
      <c r="M82" s="224">
        <f t="shared" si="38"/>
        <v>682913</v>
      </c>
      <c r="N82" s="36">
        <f t="shared" si="39"/>
        <v>143.09124853066587</v>
      </c>
      <c r="O82" s="36">
        <f t="shared" si="40"/>
        <v>52.255912432923985</v>
      </c>
      <c r="P82" s="36">
        <f t="shared" si="41"/>
        <v>85.049983551838949</v>
      </c>
      <c r="Q82" s="36">
        <f t="shared" si="42"/>
        <v>5.7853525459029411</v>
      </c>
    </row>
    <row r="83" spans="1:17" x14ac:dyDescent="0.2">
      <c r="A83" s="369"/>
      <c r="B83" s="33">
        <v>6</v>
      </c>
      <c r="C83" s="34">
        <v>44348</v>
      </c>
      <c r="D83" s="34">
        <v>44377</v>
      </c>
      <c r="E83" s="33">
        <f t="shared" si="35"/>
        <v>33.472999999999999</v>
      </c>
      <c r="F83" s="224">
        <f t="shared" si="36"/>
        <v>1298.51</v>
      </c>
      <c r="G83" s="35">
        <f t="shared" si="43"/>
        <v>43465.025229999999</v>
      </c>
      <c r="H83" s="35">
        <f t="shared" si="37"/>
        <v>398544</v>
      </c>
      <c r="I83" s="35">
        <f t="shared" si="37"/>
        <v>2000</v>
      </c>
      <c r="J83" s="35">
        <f t="shared" si="37"/>
        <v>67718</v>
      </c>
      <c r="K83" s="35">
        <f t="shared" si="37"/>
        <v>4061</v>
      </c>
      <c r="L83" s="35">
        <f t="shared" si="37"/>
        <v>3437</v>
      </c>
      <c r="M83" s="224">
        <f t="shared" si="38"/>
        <v>475760</v>
      </c>
      <c r="N83" s="36">
        <f t="shared" si="39"/>
        <v>366.38916912461207</v>
      </c>
      <c r="O83" s="36">
        <f t="shared" si="40"/>
        <v>52.150541774803429</v>
      </c>
      <c r="P83" s="36">
        <f t="shared" si="41"/>
        <v>308.46431679386376</v>
      </c>
      <c r="Q83" s="36">
        <f t="shared" si="42"/>
        <v>5.7743105559448908</v>
      </c>
    </row>
    <row r="84" spans="1:17" x14ac:dyDescent="0.2">
      <c r="A84" s="369"/>
      <c r="B84" s="33">
        <v>7</v>
      </c>
      <c r="C84" s="34">
        <v>44378</v>
      </c>
      <c r="D84" s="34">
        <v>44408</v>
      </c>
      <c r="E84" s="33">
        <f t="shared" si="35"/>
        <v>33.450000000000003</v>
      </c>
      <c r="F84" s="224">
        <f t="shared" si="36"/>
        <v>989.84800000000007</v>
      </c>
      <c r="G84" s="35">
        <f t="shared" si="43"/>
        <v>33110.415600000008</v>
      </c>
      <c r="H84" s="35">
        <f t="shared" si="37"/>
        <v>398544</v>
      </c>
      <c r="I84" s="35">
        <f t="shared" si="37"/>
        <v>1523</v>
      </c>
      <c r="J84" s="35">
        <f t="shared" si="37"/>
        <v>51591</v>
      </c>
      <c r="K84" s="35">
        <f t="shared" si="37"/>
        <v>3094</v>
      </c>
      <c r="L84" s="35">
        <f t="shared" si="37"/>
        <v>2619</v>
      </c>
      <c r="M84" s="224">
        <f t="shared" si="38"/>
        <v>457371</v>
      </c>
      <c r="N84" s="36">
        <f t="shared" si="39"/>
        <v>462.06185192069893</v>
      </c>
      <c r="O84" s="36">
        <f t="shared" si="40"/>
        <v>52.120123493708121</v>
      </c>
      <c r="P84" s="36">
        <f t="shared" si="41"/>
        <v>404.1701352126791</v>
      </c>
      <c r="Q84" s="36">
        <f t="shared" si="42"/>
        <v>5.7715932143116921</v>
      </c>
    </row>
    <row r="85" spans="1:17" x14ac:dyDescent="0.2">
      <c r="A85" s="369"/>
      <c r="B85" s="33">
        <v>8</v>
      </c>
      <c r="C85" s="34">
        <v>44409</v>
      </c>
      <c r="D85" s="34">
        <v>44439</v>
      </c>
      <c r="E85" s="33">
        <f t="shared" si="35"/>
        <v>33.4</v>
      </c>
      <c r="F85" s="224">
        <f t="shared" si="36"/>
        <v>1011.593</v>
      </c>
      <c r="G85" s="35">
        <f t="shared" si="43"/>
        <v>33787.206200000001</v>
      </c>
      <c r="H85" s="35">
        <f t="shared" si="37"/>
        <v>398544</v>
      </c>
      <c r="I85" s="35">
        <f t="shared" si="37"/>
        <v>1553</v>
      </c>
      <c r="J85" s="35">
        <f t="shared" si="37"/>
        <v>52628</v>
      </c>
      <c r="K85" s="35">
        <f t="shared" si="37"/>
        <v>3156</v>
      </c>
      <c r="L85" s="35">
        <f t="shared" si="37"/>
        <v>2674</v>
      </c>
      <c r="M85" s="224">
        <f t="shared" si="38"/>
        <v>458555</v>
      </c>
      <c r="N85" s="36">
        <f t="shared" si="39"/>
        <v>453.29989432508927</v>
      </c>
      <c r="O85" s="36">
        <f t="shared" si="40"/>
        <v>52.024875616972437</v>
      </c>
      <c r="P85" s="36">
        <f t="shared" si="41"/>
        <v>395.51183133928367</v>
      </c>
      <c r="Q85" s="36">
        <f t="shared" si="42"/>
        <v>5.7631873688331181</v>
      </c>
    </row>
    <row r="86" spans="1:17" x14ac:dyDescent="0.2">
      <c r="A86" s="369"/>
      <c r="B86" s="33">
        <v>9</v>
      </c>
      <c r="C86" s="34">
        <v>44440</v>
      </c>
      <c r="D86" s="34">
        <v>44469</v>
      </c>
      <c r="E86" s="33">
        <f t="shared" si="35"/>
        <v>33.348179000000002</v>
      </c>
      <c r="F86" s="224">
        <f t="shared" si="36"/>
        <v>1765.395</v>
      </c>
      <c r="G86" s="35">
        <f t="shared" si="43"/>
        <v>58872.708465705</v>
      </c>
      <c r="H86" s="35">
        <f t="shared" si="37"/>
        <v>398544</v>
      </c>
      <c r="I86" s="35">
        <f t="shared" si="37"/>
        <v>2705</v>
      </c>
      <c r="J86" s="35">
        <f t="shared" si="37"/>
        <v>91620</v>
      </c>
      <c r="K86" s="35">
        <f t="shared" si="37"/>
        <v>5494</v>
      </c>
      <c r="L86" s="35">
        <f t="shared" si="37"/>
        <v>4648</v>
      </c>
      <c r="M86" s="224">
        <f t="shared" si="38"/>
        <v>503011</v>
      </c>
      <c r="N86" s="36">
        <f t="shared" si="39"/>
        <v>284.92830216467138</v>
      </c>
      <c r="O86" s="36">
        <f t="shared" si="40"/>
        <v>51.897733934898426</v>
      </c>
      <c r="P86" s="36">
        <f t="shared" si="41"/>
        <v>227.28567827596657</v>
      </c>
      <c r="Q86" s="36">
        <f t="shared" si="42"/>
        <v>5.7448899538063722</v>
      </c>
    </row>
    <row r="87" spans="1:17" x14ac:dyDescent="0.2">
      <c r="A87" s="369"/>
      <c r="B87" s="33">
        <v>10</v>
      </c>
      <c r="C87" s="34">
        <v>44470</v>
      </c>
      <c r="D87" s="34">
        <v>44500</v>
      </c>
      <c r="E87" s="33">
        <f t="shared" si="35"/>
        <v>33.659999999999997</v>
      </c>
      <c r="F87" s="224">
        <f t="shared" si="36"/>
        <v>20169</v>
      </c>
      <c r="G87" s="35">
        <f t="shared" si="43"/>
        <v>678888.53999999992</v>
      </c>
      <c r="H87" s="35">
        <f t="shared" si="37"/>
        <v>361622</v>
      </c>
      <c r="I87" s="35">
        <f t="shared" si="37"/>
        <v>41187</v>
      </c>
      <c r="J87" s="35">
        <f t="shared" si="37"/>
        <v>3344282</v>
      </c>
      <c r="K87" s="35">
        <f t="shared" si="37"/>
        <v>100923</v>
      </c>
      <c r="L87" s="35">
        <f t="shared" si="37"/>
        <v>53692</v>
      </c>
      <c r="M87" s="224">
        <f t="shared" si="38"/>
        <v>3901706</v>
      </c>
      <c r="N87" s="36">
        <f t="shared" si="39"/>
        <v>193.45064207447072</v>
      </c>
      <c r="O87" s="36">
        <f t="shared" si="40"/>
        <v>165.81298031632704</v>
      </c>
      <c r="P87" s="36">
        <f t="shared" si="41"/>
        <v>19.971689226039963</v>
      </c>
      <c r="Q87" s="36">
        <f t="shared" si="42"/>
        <v>7.6659725321037238</v>
      </c>
    </row>
    <row r="88" spans="1:17" x14ac:dyDescent="0.2">
      <c r="A88" s="369"/>
      <c r="B88" s="33">
        <v>11</v>
      </c>
      <c r="C88" s="34">
        <v>44501</v>
      </c>
      <c r="D88" s="34">
        <v>44530</v>
      </c>
      <c r="E88" s="33">
        <f t="shared" si="35"/>
        <v>33.665100000000002</v>
      </c>
      <c r="F88" s="224">
        <f t="shared" si="36"/>
        <v>36718</v>
      </c>
      <c r="G88" s="35">
        <f t="shared" si="43"/>
        <v>1236115.1418000001</v>
      </c>
      <c r="H88" s="35">
        <f t="shared" si="37"/>
        <v>349956</v>
      </c>
      <c r="I88" s="35">
        <f t="shared" si="37"/>
        <v>74978</v>
      </c>
      <c r="J88" s="35">
        <f t="shared" si="37"/>
        <v>6087987</v>
      </c>
      <c r="K88" s="35">
        <f t="shared" si="37"/>
        <v>180638</v>
      </c>
      <c r="L88" s="35">
        <f t="shared" si="37"/>
        <v>97743</v>
      </c>
      <c r="M88" s="224">
        <f t="shared" si="38"/>
        <v>6791302</v>
      </c>
      <c r="N88" s="36">
        <f t="shared" si="39"/>
        <v>184.95838553298111</v>
      </c>
      <c r="O88" s="36">
        <f t="shared" si="40"/>
        <v>165.80388365379378</v>
      </c>
      <c r="P88" s="36">
        <f t="shared" si="41"/>
        <v>11.57290702107958</v>
      </c>
      <c r="Q88" s="36">
        <f t="shared" si="42"/>
        <v>7.5815948581077404</v>
      </c>
    </row>
    <row r="89" spans="1:17" ht="15" thickBot="1" x14ac:dyDescent="0.25">
      <c r="A89" s="369"/>
      <c r="B89" s="33">
        <v>12</v>
      </c>
      <c r="C89" s="34">
        <v>44531</v>
      </c>
      <c r="D89" s="34">
        <v>44561</v>
      </c>
      <c r="E89" s="33">
        <f t="shared" si="35"/>
        <v>34.073599999999999</v>
      </c>
      <c r="F89" s="224">
        <f t="shared" si="36"/>
        <v>44587</v>
      </c>
      <c r="G89" s="35">
        <f t="shared" si="43"/>
        <v>1519239.6032</v>
      </c>
      <c r="H89" s="35">
        <f t="shared" si="37"/>
        <v>365237</v>
      </c>
      <c r="I89" s="35">
        <f t="shared" si="37"/>
        <v>92173</v>
      </c>
      <c r="J89" s="35">
        <f t="shared" si="37"/>
        <v>7484121</v>
      </c>
      <c r="K89" s="35">
        <f t="shared" si="37"/>
        <v>217760</v>
      </c>
      <c r="L89" s="35">
        <f t="shared" si="37"/>
        <v>120156</v>
      </c>
      <c r="M89" s="224">
        <f t="shared" si="38"/>
        <v>8279447</v>
      </c>
      <c r="N89" s="36">
        <f t="shared" si="39"/>
        <v>185.69195056855136</v>
      </c>
      <c r="O89" s="36">
        <f t="shared" si="40"/>
        <v>167.85432973736741</v>
      </c>
      <c r="P89" s="36">
        <f t="shared" si="41"/>
        <v>10.258819835378025</v>
      </c>
      <c r="Q89" s="36">
        <f t="shared" si="42"/>
        <v>7.5788009958059526</v>
      </c>
    </row>
    <row r="90" spans="1:17" ht="27" customHeight="1" thickTop="1" thickBot="1" x14ac:dyDescent="0.25">
      <c r="A90" s="361" t="s">
        <v>336</v>
      </c>
      <c r="B90" s="362"/>
      <c r="C90" s="362"/>
      <c r="D90" s="363"/>
      <c r="E90" s="49">
        <f>+G90/F90</f>
        <v>33.825342477455948</v>
      </c>
      <c r="F90" s="40">
        <f t="shared" ref="F90:M90" si="44">SUM(F78:F89)</f>
        <v>227204.01799999998</v>
      </c>
      <c r="G90" s="40">
        <f t="shared" si="44"/>
        <v>7685253.721104065</v>
      </c>
      <c r="H90" s="40">
        <f t="shared" si="44"/>
        <v>4663711</v>
      </c>
      <c r="I90" s="40">
        <f t="shared" si="44"/>
        <v>403880</v>
      </c>
      <c r="J90" s="40">
        <f t="shared" si="44"/>
        <v>23539352</v>
      </c>
      <c r="K90" s="40">
        <f t="shared" si="44"/>
        <v>896541</v>
      </c>
      <c r="L90" s="40">
        <f t="shared" si="44"/>
        <v>607717</v>
      </c>
      <c r="M90" s="40">
        <f t="shared" si="44"/>
        <v>30111201</v>
      </c>
      <c r="N90" s="41">
        <f t="shared" si="39"/>
        <v>132.52935077935109</v>
      </c>
      <c r="O90" s="41">
        <f t="shared" si="40"/>
        <v>103.60447058643128</v>
      </c>
      <c r="P90" s="41">
        <f t="shared" si="41"/>
        <v>22.304143406477962</v>
      </c>
      <c r="Q90" s="41">
        <f t="shared" si="42"/>
        <v>6.6207367864418671</v>
      </c>
    </row>
    <row r="91" spans="1:17" ht="15" thickTop="1" x14ac:dyDescent="0.2"/>
  </sheetData>
  <mergeCells count="67">
    <mergeCell ref="A90:D90"/>
    <mergeCell ref="A76:A77"/>
    <mergeCell ref="B76:B77"/>
    <mergeCell ref="C76:D76"/>
    <mergeCell ref="E76:E77"/>
    <mergeCell ref="N76:Q76"/>
    <mergeCell ref="A78:A89"/>
    <mergeCell ref="F76:G76"/>
    <mergeCell ref="A73:D73"/>
    <mergeCell ref="A70:A71"/>
    <mergeCell ref="B70:B71"/>
    <mergeCell ref="C70:D70"/>
    <mergeCell ref="H76:M76"/>
    <mergeCell ref="E70:E71"/>
    <mergeCell ref="F70:G70"/>
    <mergeCell ref="H70:M70"/>
    <mergeCell ref="N70:Q70"/>
    <mergeCell ref="A21:A32"/>
    <mergeCell ref="A38:A49"/>
    <mergeCell ref="B51:D51"/>
    <mergeCell ref="I51:J51"/>
    <mergeCell ref="K51:N51"/>
    <mergeCell ref="A50:D50"/>
    <mergeCell ref="N53:Q53"/>
    <mergeCell ref="A55:A66"/>
    <mergeCell ref="A67:D67"/>
    <mergeCell ref="B68:D68"/>
    <mergeCell ref="I68:J68"/>
    <mergeCell ref="K68:N68"/>
    <mergeCell ref="A53:A54"/>
    <mergeCell ref="B53:B54"/>
    <mergeCell ref="C53:D53"/>
    <mergeCell ref="E53:E54"/>
    <mergeCell ref="F53:G53"/>
    <mergeCell ref="H53:M53"/>
    <mergeCell ref="F2:G2"/>
    <mergeCell ref="H36:M36"/>
    <mergeCell ref="N36:Q36"/>
    <mergeCell ref="A19:A20"/>
    <mergeCell ref="B19:B20"/>
    <mergeCell ref="C19:D19"/>
    <mergeCell ref="E19:E20"/>
    <mergeCell ref="F19:G19"/>
    <mergeCell ref="A33:D33"/>
    <mergeCell ref="I34:J34"/>
    <mergeCell ref="K34:N34"/>
    <mergeCell ref="A36:A37"/>
    <mergeCell ref="B36:B37"/>
    <mergeCell ref="C36:D36"/>
    <mergeCell ref="E36:E37"/>
    <mergeCell ref="F36:G36"/>
    <mergeCell ref="B17:D17"/>
    <mergeCell ref="B34:D34"/>
    <mergeCell ref="A1:O1"/>
    <mergeCell ref="P1:Q1"/>
    <mergeCell ref="N19:Q19"/>
    <mergeCell ref="H2:M2"/>
    <mergeCell ref="C2:D2"/>
    <mergeCell ref="H19:M19"/>
    <mergeCell ref="N2:Q2"/>
    <mergeCell ref="A16:D16"/>
    <mergeCell ref="A2:A3"/>
    <mergeCell ref="B2:B3"/>
    <mergeCell ref="A4:A15"/>
    <mergeCell ref="I17:J17"/>
    <mergeCell ref="K17:N17"/>
    <mergeCell ref="E2:E3"/>
  </mergeCells>
  <printOptions horizontalCentered="1"/>
  <pageMargins left="0.35433070866141736" right="0.19685039370078741" top="0.15748031496062992" bottom="0.15748031496062992" header="0.31496062992125984" footer="0.31496062992125984"/>
  <pageSetup paperSize="9" scale="69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155"/>
  <sheetViews>
    <sheetView topLeftCell="A130" workbookViewId="0">
      <selection activeCell="K140" sqref="K140"/>
    </sheetView>
  </sheetViews>
  <sheetFormatPr defaultRowHeight="14.25" x14ac:dyDescent="0.2"/>
  <cols>
    <col min="1" max="1" width="10.5703125" style="25" customWidth="1"/>
    <col min="2" max="2" width="19.7109375" style="25" customWidth="1"/>
    <col min="3" max="3" width="14.7109375" style="25" customWidth="1"/>
    <col min="4" max="4" width="19.5703125" style="25" customWidth="1"/>
    <col min="5" max="5" width="16.7109375" style="25" customWidth="1"/>
    <col min="6" max="6" width="14.5703125" style="25" customWidth="1"/>
    <col min="7" max="7" width="13.140625" style="25" customWidth="1"/>
    <col min="8" max="8" width="13.5703125" style="25" customWidth="1"/>
    <col min="9" max="16384" width="9.140625" style="25"/>
  </cols>
  <sheetData>
    <row r="1" spans="1:8" ht="36" customHeight="1" thickBot="1" x14ac:dyDescent="0.25">
      <c r="A1" s="356" t="s">
        <v>239</v>
      </c>
      <c r="B1" s="356"/>
      <c r="C1" s="356"/>
      <c r="D1" s="356"/>
      <c r="E1" s="356"/>
      <c r="F1" s="356"/>
      <c r="G1" s="356"/>
      <c r="H1" s="219" t="s">
        <v>214</v>
      </c>
    </row>
    <row r="2" spans="1:8" ht="32.25" customHeight="1" thickTop="1" thickBot="1" x14ac:dyDescent="0.25">
      <c r="A2" s="364" t="s">
        <v>195</v>
      </c>
      <c r="B2" s="364" t="s">
        <v>407</v>
      </c>
      <c r="C2" s="364" t="s">
        <v>197</v>
      </c>
      <c r="D2" s="364" t="s">
        <v>196</v>
      </c>
      <c r="E2" s="27" t="s">
        <v>18</v>
      </c>
      <c r="F2" s="364" t="s">
        <v>199</v>
      </c>
      <c r="G2" s="364" t="s">
        <v>200</v>
      </c>
      <c r="H2" s="364" t="s">
        <v>323</v>
      </c>
    </row>
    <row r="3" spans="1:8" ht="17.25" customHeight="1" thickTop="1" thickBot="1" x14ac:dyDescent="0.25">
      <c r="A3" s="365"/>
      <c r="B3" s="365"/>
      <c r="C3" s="365"/>
      <c r="D3" s="365"/>
      <c r="E3" s="45" t="s">
        <v>198</v>
      </c>
      <c r="F3" s="365"/>
      <c r="G3" s="365"/>
      <c r="H3" s="365"/>
    </row>
    <row r="4" spans="1:8" ht="15" customHeight="1" thickTop="1" x14ac:dyDescent="0.2">
      <c r="A4" s="368" t="s">
        <v>213</v>
      </c>
      <c r="B4" s="103" t="s">
        <v>201</v>
      </c>
      <c r="C4" s="114">
        <v>2270</v>
      </c>
      <c r="D4" s="114">
        <v>65594</v>
      </c>
      <c r="E4" s="112">
        <v>145.18</v>
      </c>
      <c r="F4" s="108">
        <f>+E4/(C4/100)</f>
        <v>6.3955947136563882</v>
      </c>
      <c r="G4" s="102">
        <f>+D4/E4</f>
        <v>451.81154428984706</v>
      </c>
      <c r="H4" s="102">
        <f>+D4/C4</f>
        <v>28.89603524229075</v>
      </c>
    </row>
    <row r="5" spans="1:8" ht="15" customHeight="1" x14ac:dyDescent="0.2">
      <c r="A5" s="395"/>
      <c r="B5" s="105" t="s">
        <v>202</v>
      </c>
      <c r="C5" s="115">
        <v>1772</v>
      </c>
      <c r="D5" s="115">
        <v>52504</v>
      </c>
      <c r="E5" s="36">
        <v>110.03</v>
      </c>
      <c r="F5" s="109">
        <f t="shared" ref="F5:F15" si="0">+E5/(C5/100)</f>
        <v>6.2093679458239279</v>
      </c>
      <c r="G5" s="35">
        <f t="shared" ref="G5:G15" si="1">+D5/E5</f>
        <v>477.1789511951286</v>
      </c>
      <c r="H5" s="35">
        <f t="shared" ref="H5:H15" si="2">+D5/C5</f>
        <v>29.629796839729121</v>
      </c>
    </row>
    <row r="6" spans="1:8" ht="15" customHeight="1" x14ac:dyDescent="0.2">
      <c r="A6" s="395"/>
      <c r="B6" s="105" t="s">
        <v>203</v>
      </c>
      <c r="C6" s="115">
        <v>1437</v>
      </c>
      <c r="D6" s="115">
        <v>43603</v>
      </c>
      <c r="E6" s="36">
        <v>96.42</v>
      </c>
      <c r="F6" s="109">
        <f t="shared" si="0"/>
        <v>6.7098121085594995</v>
      </c>
      <c r="G6" s="35">
        <f t="shared" si="1"/>
        <v>452.21945654428544</v>
      </c>
      <c r="H6" s="35">
        <f t="shared" si="2"/>
        <v>30.343075852470424</v>
      </c>
    </row>
    <row r="7" spans="1:8" ht="15" customHeight="1" x14ac:dyDescent="0.2">
      <c r="A7" s="395"/>
      <c r="B7" s="105" t="s">
        <v>204</v>
      </c>
      <c r="C7" s="115">
        <v>1291</v>
      </c>
      <c r="D7" s="115">
        <v>40120</v>
      </c>
      <c r="E7" s="36">
        <v>88.37</v>
      </c>
      <c r="F7" s="109">
        <f t="shared" si="0"/>
        <v>6.8450813323005422</v>
      </c>
      <c r="G7" s="35">
        <f t="shared" si="1"/>
        <v>454.00022632114968</v>
      </c>
      <c r="H7" s="35">
        <f t="shared" si="2"/>
        <v>31.076684740511233</v>
      </c>
    </row>
    <row r="8" spans="1:8" ht="15" customHeight="1" x14ac:dyDescent="0.2">
      <c r="A8" s="395"/>
      <c r="B8" s="105" t="s">
        <v>205</v>
      </c>
      <c r="C8" s="115">
        <v>1425</v>
      </c>
      <c r="D8" s="115">
        <v>42526</v>
      </c>
      <c r="E8" s="36">
        <v>94.3</v>
      </c>
      <c r="F8" s="109">
        <f t="shared" si="0"/>
        <v>6.617543859649123</v>
      </c>
      <c r="G8" s="35">
        <f t="shared" si="1"/>
        <v>450.96500530222693</v>
      </c>
      <c r="H8" s="35">
        <f t="shared" si="2"/>
        <v>29.842807017543858</v>
      </c>
    </row>
    <row r="9" spans="1:8" ht="15" customHeight="1" x14ac:dyDescent="0.2">
      <c r="A9" s="395"/>
      <c r="B9" s="105" t="s">
        <v>206</v>
      </c>
      <c r="C9" s="115">
        <v>1355</v>
      </c>
      <c r="D9" s="115">
        <v>49458</v>
      </c>
      <c r="E9" s="36">
        <v>103.26</v>
      </c>
      <c r="F9" s="109">
        <f t="shared" si="0"/>
        <v>7.6206642066420667</v>
      </c>
      <c r="G9" s="35">
        <f t="shared" si="1"/>
        <v>478.96571760604297</v>
      </c>
      <c r="H9" s="35">
        <f t="shared" si="2"/>
        <v>36.500369003690039</v>
      </c>
    </row>
    <row r="10" spans="1:8" ht="15" customHeight="1" x14ac:dyDescent="0.2">
      <c r="A10" s="395"/>
      <c r="B10" s="105" t="s">
        <v>207</v>
      </c>
      <c r="C10" s="115">
        <v>1158</v>
      </c>
      <c r="D10" s="115">
        <v>34424</v>
      </c>
      <c r="E10" s="36">
        <v>75.819999999999993</v>
      </c>
      <c r="F10" s="109">
        <f t="shared" si="0"/>
        <v>6.5474956822107071</v>
      </c>
      <c r="G10" s="35">
        <f t="shared" si="1"/>
        <v>454.0226853073068</v>
      </c>
      <c r="H10" s="35">
        <f t="shared" si="2"/>
        <v>29.727115716753023</v>
      </c>
    </row>
    <row r="11" spans="1:8" ht="15" customHeight="1" x14ac:dyDescent="0.2">
      <c r="A11" s="395"/>
      <c r="B11" s="105" t="s">
        <v>208</v>
      </c>
      <c r="C11" s="115">
        <v>1181</v>
      </c>
      <c r="D11" s="115">
        <v>38442</v>
      </c>
      <c r="E11" s="36">
        <v>81.66</v>
      </c>
      <c r="F11" s="109">
        <f t="shared" si="0"/>
        <v>6.9144792548687546</v>
      </c>
      <c r="G11" s="35">
        <f t="shared" si="1"/>
        <v>470.75679647318151</v>
      </c>
      <c r="H11" s="35">
        <f t="shared" si="2"/>
        <v>32.550381033022859</v>
      </c>
    </row>
    <row r="12" spans="1:8" ht="15" customHeight="1" x14ac:dyDescent="0.2">
      <c r="A12" s="395"/>
      <c r="B12" s="107" t="s">
        <v>209</v>
      </c>
      <c r="C12" s="116">
        <v>1819</v>
      </c>
      <c r="D12" s="116">
        <v>59913</v>
      </c>
      <c r="E12" s="113">
        <v>124.32</v>
      </c>
      <c r="F12" s="110">
        <f t="shared" si="0"/>
        <v>6.8345244639912028</v>
      </c>
      <c r="G12" s="104">
        <f t="shared" si="1"/>
        <v>481.92567567567568</v>
      </c>
      <c r="H12" s="104">
        <f t="shared" si="2"/>
        <v>32.937328202308962</v>
      </c>
    </row>
    <row r="13" spans="1:8" ht="15" customHeight="1" x14ac:dyDescent="0.2">
      <c r="A13" s="395"/>
      <c r="B13" s="105" t="s">
        <v>210</v>
      </c>
      <c r="C13" s="115">
        <v>2132</v>
      </c>
      <c r="D13" s="115">
        <v>76004</v>
      </c>
      <c r="E13" s="36">
        <v>142.11000000000001</v>
      </c>
      <c r="F13" s="109">
        <f t="shared" si="0"/>
        <v>6.6655722326454043</v>
      </c>
      <c r="G13" s="35">
        <f t="shared" si="1"/>
        <v>534.82513545844768</v>
      </c>
      <c r="H13" s="35">
        <f t="shared" si="2"/>
        <v>35.649155722326455</v>
      </c>
    </row>
    <row r="14" spans="1:8" ht="15" customHeight="1" x14ac:dyDescent="0.2">
      <c r="A14" s="395"/>
      <c r="B14" s="105" t="s">
        <v>211</v>
      </c>
      <c r="C14" s="115">
        <v>2874</v>
      </c>
      <c r="D14" s="115">
        <v>90271</v>
      </c>
      <c r="E14" s="36">
        <v>176.99</v>
      </c>
      <c r="F14" s="109">
        <f t="shared" si="0"/>
        <v>6.1583159359777317</v>
      </c>
      <c r="G14" s="35">
        <f t="shared" si="1"/>
        <v>510.0344652240239</v>
      </c>
      <c r="H14" s="35">
        <f t="shared" si="2"/>
        <v>31.409533750869869</v>
      </c>
    </row>
    <row r="15" spans="1:8" ht="15" customHeight="1" thickBot="1" x14ac:dyDescent="0.25">
      <c r="A15" s="396"/>
      <c r="B15" s="106" t="s">
        <v>212</v>
      </c>
      <c r="C15" s="116">
        <v>1869</v>
      </c>
      <c r="D15" s="116">
        <v>65800</v>
      </c>
      <c r="E15" s="113">
        <v>128.41</v>
      </c>
      <c r="F15" s="110">
        <f t="shared" si="0"/>
        <v>6.8705189941144988</v>
      </c>
      <c r="G15" s="104">
        <f t="shared" si="1"/>
        <v>512.42115100070089</v>
      </c>
      <c r="H15" s="104">
        <f t="shared" si="2"/>
        <v>35.205992509363298</v>
      </c>
    </row>
    <row r="16" spans="1:8" ht="27" customHeight="1" thickTop="1" thickBot="1" x14ac:dyDescent="0.25">
      <c r="A16" s="361" t="s">
        <v>6</v>
      </c>
      <c r="B16" s="362"/>
      <c r="C16" s="40">
        <f>SUM(C4:C15)</f>
        <v>20583</v>
      </c>
      <c r="D16" s="40">
        <f>SUM(D4:D15)</f>
        <v>658659</v>
      </c>
      <c r="E16" s="41">
        <f>SUM(E4:E15)</f>
        <v>1366.87</v>
      </c>
      <c r="F16" s="111">
        <f>+E16/(C16/100)</f>
        <v>6.6407715104698042</v>
      </c>
      <c r="G16" s="40">
        <f>+D16/E16</f>
        <v>481.87391631976709</v>
      </c>
      <c r="H16" s="40">
        <f>+D16/C16</f>
        <v>32.000145751348199</v>
      </c>
    </row>
    <row r="17" spans="1:8" ht="15.75" thickTop="1" thickBot="1" x14ac:dyDescent="0.25">
      <c r="A17" s="397"/>
      <c r="B17" s="397"/>
      <c r="C17" s="397"/>
      <c r="D17" s="397"/>
      <c r="E17" s="397"/>
      <c r="F17" s="397"/>
      <c r="G17" s="46"/>
      <c r="H17" s="46"/>
    </row>
    <row r="18" spans="1:8" ht="31.5" customHeight="1" thickTop="1" thickBot="1" x14ac:dyDescent="0.25">
      <c r="A18" s="364" t="s">
        <v>195</v>
      </c>
      <c r="B18" s="364" t="s">
        <v>407</v>
      </c>
      <c r="C18" s="364" t="s">
        <v>197</v>
      </c>
      <c r="D18" s="364" t="s">
        <v>196</v>
      </c>
      <c r="E18" s="96" t="s">
        <v>18</v>
      </c>
      <c r="F18" s="364" t="s">
        <v>199</v>
      </c>
      <c r="G18" s="364" t="s">
        <v>200</v>
      </c>
      <c r="H18" s="364" t="s">
        <v>323</v>
      </c>
    </row>
    <row r="19" spans="1:8" ht="24" customHeight="1" thickTop="1" thickBot="1" x14ac:dyDescent="0.25">
      <c r="A19" s="365"/>
      <c r="B19" s="365"/>
      <c r="C19" s="365"/>
      <c r="D19" s="365"/>
      <c r="E19" s="97" t="s">
        <v>216</v>
      </c>
      <c r="F19" s="365"/>
      <c r="G19" s="365"/>
      <c r="H19" s="365"/>
    </row>
    <row r="20" spans="1:8" ht="15" thickTop="1" x14ac:dyDescent="0.2">
      <c r="A20" s="368" t="s">
        <v>215</v>
      </c>
      <c r="B20" s="103" t="s">
        <v>201</v>
      </c>
      <c r="C20" s="114">
        <v>1230</v>
      </c>
      <c r="D20" s="114">
        <v>22694</v>
      </c>
      <c r="E20" s="112">
        <v>55.91</v>
      </c>
      <c r="F20" s="108">
        <f>+E20/(C20/100)</f>
        <v>4.5455284552845523</v>
      </c>
      <c r="G20" s="102">
        <f>+D20/E20</f>
        <v>405.90234305133254</v>
      </c>
      <c r="H20" s="102">
        <f>+D20/C20</f>
        <v>18.45040650406504</v>
      </c>
    </row>
    <row r="21" spans="1:8" x14ac:dyDescent="0.2">
      <c r="A21" s="395"/>
      <c r="B21" s="105" t="s">
        <v>202</v>
      </c>
      <c r="C21" s="115">
        <v>794</v>
      </c>
      <c r="D21" s="115">
        <v>25001</v>
      </c>
      <c r="E21" s="36">
        <v>55.57</v>
      </c>
      <c r="F21" s="109">
        <f t="shared" ref="F21:F32" si="3">+E21/(C21/100)</f>
        <v>6.9987405541561714</v>
      </c>
      <c r="G21" s="35">
        <f t="shared" ref="G21:G31" si="4">+D21/E21</f>
        <v>449.90102573330933</v>
      </c>
      <c r="H21" s="35">
        <f t="shared" ref="H21:H31" si="5">+D21/C21</f>
        <v>31.487405541561714</v>
      </c>
    </row>
    <row r="22" spans="1:8" x14ac:dyDescent="0.2">
      <c r="A22" s="395"/>
      <c r="B22" s="105" t="s">
        <v>203</v>
      </c>
      <c r="C22" s="115">
        <v>1076</v>
      </c>
      <c r="D22" s="115">
        <v>25096</v>
      </c>
      <c r="E22" s="36">
        <v>57.18</v>
      </c>
      <c r="F22" s="109">
        <f t="shared" si="3"/>
        <v>5.3141263940520451</v>
      </c>
      <c r="G22" s="35">
        <f t="shared" si="4"/>
        <v>438.89471843301857</v>
      </c>
      <c r="H22" s="35">
        <f t="shared" si="5"/>
        <v>23.323420074349443</v>
      </c>
    </row>
    <row r="23" spans="1:8" x14ac:dyDescent="0.2">
      <c r="A23" s="395"/>
      <c r="B23" s="105" t="s">
        <v>204</v>
      </c>
      <c r="C23" s="115">
        <v>1213</v>
      </c>
      <c r="D23" s="115">
        <v>20107</v>
      </c>
      <c r="E23" s="36">
        <v>48</v>
      </c>
      <c r="F23" s="109">
        <f t="shared" si="3"/>
        <v>3.9571310799670236</v>
      </c>
      <c r="G23" s="35">
        <f t="shared" si="4"/>
        <v>418.89583333333331</v>
      </c>
      <c r="H23" s="35">
        <f t="shared" si="5"/>
        <v>16.576257213520197</v>
      </c>
    </row>
    <row r="24" spans="1:8" x14ac:dyDescent="0.2">
      <c r="A24" s="395"/>
      <c r="B24" s="105" t="s">
        <v>205</v>
      </c>
      <c r="C24" s="115">
        <v>2231</v>
      </c>
      <c r="D24" s="115">
        <v>24125</v>
      </c>
      <c r="E24" s="36">
        <v>56.38</v>
      </c>
      <c r="F24" s="109">
        <f t="shared" si="3"/>
        <v>2.527117884356791</v>
      </c>
      <c r="G24" s="35">
        <f t="shared" si="4"/>
        <v>427.89996452642777</v>
      </c>
      <c r="H24" s="35">
        <f t="shared" si="5"/>
        <v>10.81353653070372</v>
      </c>
    </row>
    <row r="25" spans="1:8" x14ac:dyDescent="0.2">
      <c r="A25" s="395"/>
      <c r="B25" s="105" t="s">
        <v>206</v>
      </c>
      <c r="C25" s="115">
        <v>2121</v>
      </c>
      <c r="D25" s="115">
        <v>68478</v>
      </c>
      <c r="E25" s="36">
        <v>159.35</v>
      </c>
      <c r="F25" s="109">
        <f t="shared" si="3"/>
        <v>7.5129655822725123</v>
      </c>
      <c r="G25" s="35">
        <f t="shared" si="4"/>
        <v>429.73329149670536</v>
      </c>
      <c r="H25" s="35">
        <f t="shared" si="5"/>
        <v>32.285714285714285</v>
      </c>
    </row>
    <row r="26" spans="1:8" x14ac:dyDescent="0.2">
      <c r="A26" s="395"/>
      <c r="B26" s="105" t="s">
        <v>207</v>
      </c>
      <c r="C26" s="115">
        <v>1469</v>
      </c>
      <c r="D26" s="115">
        <v>37012</v>
      </c>
      <c r="E26" s="36">
        <v>82.77</v>
      </c>
      <c r="F26" s="109">
        <f t="shared" si="3"/>
        <v>5.6344452008168817</v>
      </c>
      <c r="G26" s="35">
        <f t="shared" si="4"/>
        <v>447.16684789174826</v>
      </c>
      <c r="H26" s="35">
        <f t="shared" si="5"/>
        <v>25.195371000680733</v>
      </c>
    </row>
    <row r="27" spans="1:8" x14ac:dyDescent="0.2">
      <c r="A27" s="395"/>
      <c r="B27" s="105" t="s">
        <v>208</v>
      </c>
      <c r="C27" s="115">
        <v>970</v>
      </c>
      <c r="D27" s="115">
        <v>20586</v>
      </c>
      <c r="E27" s="36">
        <v>47.01</v>
      </c>
      <c r="F27" s="109">
        <f t="shared" si="3"/>
        <v>4.8463917525773201</v>
      </c>
      <c r="G27" s="35">
        <f t="shared" si="4"/>
        <v>437.90682833439695</v>
      </c>
      <c r="H27" s="35">
        <f t="shared" si="5"/>
        <v>21.222680412371133</v>
      </c>
    </row>
    <row r="28" spans="1:8" x14ac:dyDescent="0.2">
      <c r="A28" s="395"/>
      <c r="B28" s="107" t="s">
        <v>209</v>
      </c>
      <c r="C28" s="116">
        <v>2488</v>
      </c>
      <c r="D28" s="116">
        <v>79871</v>
      </c>
      <c r="E28" s="113">
        <v>160.68</v>
      </c>
      <c r="F28" s="110">
        <f t="shared" si="3"/>
        <v>6.4581993569131839</v>
      </c>
      <c r="G28" s="104">
        <f t="shared" si="4"/>
        <v>497.08115509086383</v>
      </c>
      <c r="H28" s="104">
        <f t="shared" si="5"/>
        <v>32.102491961414792</v>
      </c>
    </row>
    <row r="29" spans="1:8" x14ac:dyDescent="0.2">
      <c r="A29" s="395"/>
      <c r="B29" s="105" t="s">
        <v>210</v>
      </c>
      <c r="C29" s="115">
        <v>3257</v>
      </c>
      <c r="D29" s="115">
        <v>103754</v>
      </c>
      <c r="E29" s="36">
        <v>206.31</v>
      </c>
      <c r="F29" s="109">
        <f t="shared" si="3"/>
        <v>6.3343567700337733</v>
      </c>
      <c r="G29" s="35">
        <f t="shared" si="4"/>
        <v>502.90339779942803</v>
      </c>
      <c r="H29" s="35">
        <f t="shared" si="5"/>
        <v>31.855695425237951</v>
      </c>
    </row>
    <row r="30" spans="1:8" x14ac:dyDescent="0.2">
      <c r="A30" s="395"/>
      <c r="B30" s="105" t="s">
        <v>211</v>
      </c>
      <c r="C30" s="115">
        <v>855</v>
      </c>
      <c r="D30" s="115">
        <v>29040</v>
      </c>
      <c r="E30" s="36">
        <v>56.62</v>
      </c>
      <c r="F30" s="109">
        <f t="shared" si="3"/>
        <v>6.6222222222222218</v>
      </c>
      <c r="G30" s="35">
        <f t="shared" si="4"/>
        <v>512.89297068173789</v>
      </c>
      <c r="H30" s="35">
        <f t="shared" si="5"/>
        <v>33.964912280701753</v>
      </c>
    </row>
    <row r="31" spans="1:8" ht="15" thickBot="1" x14ac:dyDescent="0.25">
      <c r="A31" s="396"/>
      <c r="B31" s="106" t="s">
        <v>212</v>
      </c>
      <c r="C31" s="116">
        <v>1386</v>
      </c>
      <c r="D31" s="116">
        <v>59762</v>
      </c>
      <c r="E31" s="113">
        <v>127.18</v>
      </c>
      <c r="F31" s="110">
        <f t="shared" si="3"/>
        <v>9.1760461760461762</v>
      </c>
      <c r="G31" s="104">
        <f t="shared" si="4"/>
        <v>469.90092781883942</v>
      </c>
      <c r="H31" s="104">
        <f t="shared" si="5"/>
        <v>43.118326118326117</v>
      </c>
    </row>
    <row r="32" spans="1:8" ht="16.5" thickTop="1" thickBot="1" x14ac:dyDescent="0.25">
      <c r="A32" s="361" t="s">
        <v>6</v>
      </c>
      <c r="B32" s="362"/>
      <c r="C32" s="40">
        <f>SUM(C20:C31)</f>
        <v>19090</v>
      </c>
      <c r="D32" s="40">
        <f>SUM(D20:D31)</f>
        <v>515526</v>
      </c>
      <c r="E32" s="41">
        <f>SUM(E20:E31)</f>
        <v>1112.9599999999998</v>
      </c>
      <c r="F32" s="111">
        <f t="shared" si="3"/>
        <v>5.8300680984808793</v>
      </c>
      <c r="G32" s="40">
        <f>+D32/E32</f>
        <v>463.20263082231173</v>
      </c>
      <c r="H32" s="40">
        <f>+D32/C32</f>
        <v>27.005028810895755</v>
      </c>
    </row>
    <row r="33" spans="1:8" ht="15.75" thickTop="1" thickBot="1" x14ac:dyDescent="0.25"/>
    <row r="34" spans="1:8" ht="31.5" customHeight="1" thickTop="1" thickBot="1" x14ac:dyDescent="0.25">
      <c r="A34" s="364" t="s">
        <v>195</v>
      </c>
      <c r="B34" s="364" t="s">
        <v>407</v>
      </c>
      <c r="C34" s="364" t="s">
        <v>197</v>
      </c>
      <c r="D34" s="364" t="s">
        <v>196</v>
      </c>
      <c r="E34" s="96" t="s">
        <v>18</v>
      </c>
      <c r="F34" s="364" t="s">
        <v>199</v>
      </c>
      <c r="G34" s="364" t="s">
        <v>200</v>
      </c>
      <c r="H34" s="364" t="s">
        <v>323</v>
      </c>
    </row>
    <row r="35" spans="1:8" ht="16.5" thickTop="1" thickBot="1" x14ac:dyDescent="0.25">
      <c r="A35" s="365"/>
      <c r="B35" s="365"/>
      <c r="C35" s="365"/>
      <c r="D35" s="365"/>
      <c r="E35" s="97" t="s">
        <v>216</v>
      </c>
      <c r="F35" s="365"/>
      <c r="G35" s="365"/>
      <c r="H35" s="365"/>
    </row>
    <row r="36" spans="1:8" ht="15" thickTop="1" x14ac:dyDescent="0.2">
      <c r="A36" s="368" t="s">
        <v>217</v>
      </c>
      <c r="B36" s="103" t="s">
        <v>201</v>
      </c>
      <c r="C36" s="114">
        <v>0</v>
      </c>
      <c r="D36" s="114">
        <v>0</v>
      </c>
      <c r="E36" s="112">
        <v>0</v>
      </c>
      <c r="F36" s="109" t="e">
        <f t="shared" ref="F36" si="6">+E36/(C36/100)</f>
        <v>#DIV/0!</v>
      </c>
      <c r="G36" s="35" t="e">
        <f t="shared" ref="G36" si="7">+D36/E36</f>
        <v>#DIV/0!</v>
      </c>
      <c r="H36" s="35" t="e">
        <f t="shared" ref="H36" si="8">+D36/C36</f>
        <v>#DIV/0!</v>
      </c>
    </row>
    <row r="37" spans="1:8" x14ac:dyDescent="0.2">
      <c r="A37" s="395"/>
      <c r="B37" s="105" t="s">
        <v>202</v>
      </c>
      <c r="C37" s="115">
        <v>488</v>
      </c>
      <c r="D37" s="115">
        <v>23894</v>
      </c>
      <c r="E37" s="36">
        <v>57.59</v>
      </c>
      <c r="F37" s="109">
        <f t="shared" ref="F37:F48" si="9">+E37/(C37/100)</f>
        <v>11.801229508196723</v>
      </c>
      <c r="G37" s="35">
        <f t="shared" ref="G37:G47" si="10">+D37/E37</f>
        <v>414.8984198645598</v>
      </c>
      <c r="H37" s="35">
        <f t="shared" ref="H37:H47" si="11">+D37/C37</f>
        <v>48.963114754098363</v>
      </c>
    </row>
    <row r="38" spans="1:8" x14ac:dyDescent="0.2">
      <c r="A38" s="395"/>
      <c r="B38" s="105" t="s">
        <v>203</v>
      </c>
      <c r="C38" s="115">
        <v>410</v>
      </c>
      <c r="D38" s="115">
        <v>26404</v>
      </c>
      <c r="E38" s="36">
        <v>60.16</v>
      </c>
      <c r="F38" s="109">
        <f t="shared" ref="F38" si="12">+E38/(C38/100)</f>
        <v>14.673170731707318</v>
      </c>
      <c r="G38" s="35">
        <f t="shared" ref="G38" si="13">+D38/E38</f>
        <v>438.89627659574472</v>
      </c>
      <c r="H38" s="35">
        <f t="shared" ref="H38" si="14">+D38/C38</f>
        <v>64.400000000000006</v>
      </c>
    </row>
    <row r="39" spans="1:8" x14ac:dyDescent="0.2">
      <c r="A39" s="395"/>
      <c r="B39" s="105" t="s">
        <v>204</v>
      </c>
      <c r="C39" s="115">
        <v>266</v>
      </c>
      <c r="D39" s="115">
        <v>16294</v>
      </c>
      <c r="E39" s="36">
        <v>38.619999999999997</v>
      </c>
      <c r="F39" s="109">
        <f t="shared" si="9"/>
        <v>14.518796992481201</v>
      </c>
      <c r="G39" s="35">
        <f t="shared" si="10"/>
        <v>421.90574831693425</v>
      </c>
      <c r="H39" s="35">
        <f t="shared" si="11"/>
        <v>61.255639097744364</v>
      </c>
    </row>
    <row r="40" spans="1:8" x14ac:dyDescent="0.2">
      <c r="A40" s="395"/>
      <c r="B40" s="105" t="s">
        <v>205</v>
      </c>
      <c r="C40" s="115">
        <v>0</v>
      </c>
      <c r="D40" s="115">
        <v>0</v>
      </c>
      <c r="E40" s="36">
        <v>0</v>
      </c>
      <c r="F40" s="109" t="e">
        <f t="shared" ref="F40:F46" si="15">+E40/(C40/100)</f>
        <v>#DIV/0!</v>
      </c>
      <c r="G40" s="35" t="e">
        <f t="shared" ref="G40:G46" si="16">+D40/E40</f>
        <v>#DIV/0!</v>
      </c>
      <c r="H40" s="35" t="e">
        <f t="shared" ref="H40:H46" si="17">+D40/C40</f>
        <v>#DIV/0!</v>
      </c>
    </row>
    <row r="41" spans="1:8" x14ac:dyDescent="0.2">
      <c r="A41" s="395"/>
      <c r="B41" s="105" t="s">
        <v>206</v>
      </c>
      <c r="C41" s="115">
        <v>444</v>
      </c>
      <c r="D41" s="115">
        <v>23855</v>
      </c>
      <c r="E41" s="36">
        <v>55.62</v>
      </c>
      <c r="F41" s="109">
        <f t="shared" si="15"/>
        <v>12.527027027027025</v>
      </c>
      <c r="G41" s="35">
        <f t="shared" si="16"/>
        <v>428.89248471772748</v>
      </c>
      <c r="H41" s="35">
        <f t="shared" si="17"/>
        <v>53.727477477477478</v>
      </c>
    </row>
    <row r="42" spans="1:8" x14ac:dyDescent="0.2">
      <c r="A42" s="395"/>
      <c r="B42" s="105" t="s">
        <v>207</v>
      </c>
      <c r="C42" s="115">
        <v>621</v>
      </c>
      <c r="D42" s="115">
        <v>30165</v>
      </c>
      <c r="E42" s="36">
        <v>67.650000000000006</v>
      </c>
      <c r="F42" s="109">
        <f t="shared" si="15"/>
        <v>10.893719806763286</v>
      </c>
      <c r="G42" s="35">
        <f t="shared" si="16"/>
        <v>445.89800443458978</v>
      </c>
      <c r="H42" s="35">
        <f t="shared" si="17"/>
        <v>48.574879227053138</v>
      </c>
    </row>
    <row r="43" spans="1:8" x14ac:dyDescent="0.2">
      <c r="A43" s="395"/>
      <c r="B43" s="105" t="s">
        <v>208</v>
      </c>
      <c r="C43" s="115">
        <v>268</v>
      </c>
      <c r="D43" s="115">
        <v>31769</v>
      </c>
      <c r="E43" s="36">
        <v>70.3</v>
      </c>
      <c r="F43" s="109">
        <f t="shared" si="15"/>
        <v>26.231343283582088</v>
      </c>
      <c r="G43" s="35">
        <f t="shared" si="16"/>
        <v>451.90611664295875</v>
      </c>
      <c r="H43" s="35">
        <f t="shared" si="17"/>
        <v>118.54104477611941</v>
      </c>
    </row>
    <row r="44" spans="1:8" x14ac:dyDescent="0.2">
      <c r="A44" s="395"/>
      <c r="B44" s="107" t="s">
        <v>209</v>
      </c>
      <c r="C44" s="116">
        <v>197</v>
      </c>
      <c r="D44" s="116">
        <v>19330</v>
      </c>
      <c r="E44" s="113">
        <v>42.4</v>
      </c>
      <c r="F44" s="109">
        <f t="shared" si="15"/>
        <v>21.522842639593907</v>
      </c>
      <c r="G44" s="35">
        <f t="shared" si="16"/>
        <v>455.89622641509436</v>
      </c>
      <c r="H44" s="35">
        <f t="shared" si="17"/>
        <v>98.121827411167516</v>
      </c>
    </row>
    <row r="45" spans="1:8" x14ac:dyDescent="0.2">
      <c r="A45" s="395"/>
      <c r="B45" s="105" t="s">
        <v>210</v>
      </c>
      <c r="C45" s="115">
        <v>0</v>
      </c>
      <c r="D45" s="115">
        <v>0</v>
      </c>
      <c r="E45" s="36">
        <v>0</v>
      </c>
      <c r="F45" s="109" t="e">
        <f t="shared" si="15"/>
        <v>#DIV/0!</v>
      </c>
      <c r="G45" s="35" t="e">
        <f t="shared" si="16"/>
        <v>#DIV/0!</v>
      </c>
      <c r="H45" s="35" t="e">
        <f t="shared" si="17"/>
        <v>#DIV/0!</v>
      </c>
    </row>
    <row r="46" spans="1:8" x14ac:dyDescent="0.2">
      <c r="A46" s="395"/>
      <c r="B46" s="105" t="s">
        <v>211</v>
      </c>
      <c r="C46" s="115">
        <v>462</v>
      </c>
      <c r="D46" s="115">
        <v>24912</v>
      </c>
      <c r="E46" s="36">
        <v>51.91</v>
      </c>
      <c r="F46" s="109">
        <f t="shared" si="15"/>
        <v>11.235930735930735</v>
      </c>
      <c r="G46" s="35">
        <f t="shared" si="16"/>
        <v>479.90753226738588</v>
      </c>
      <c r="H46" s="35">
        <f t="shared" si="17"/>
        <v>53.922077922077925</v>
      </c>
    </row>
    <row r="47" spans="1:8" ht="15" thickBot="1" x14ac:dyDescent="0.25">
      <c r="A47" s="396"/>
      <c r="B47" s="106" t="s">
        <v>212</v>
      </c>
      <c r="C47" s="116">
        <v>316</v>
      </c>
      <c r="D47" s="116">
        <v>22123</v>
      </c>
      <c r="E47" s="113">
        <v>46.09</v>
      </c>
      <c r="F47" s="110">
        <f t="shared" si="9"/>
        <v>14.585443037974684</v>
      </c>
      <c r="G47" s="104">
        <f t="shared" si="10"/>
        <v>479.99566066391839</v>
      </c>
      <c r="H47" s="104">
        <f t="shared" si="11"/>
        <v>70.009493670886073</v>
      </c>
    </row>
    <row r="48" spans="1:8" ht="16.5" thickTop="1" thickBot="1" x14ac:dyDescent="0.25">
      <c r="A48" s="361" t="s">
        <v>6</v>
      </c>
      <c r="B48" s="362"/>
      <c r="C48" s="40">
        <f>SUM(C36:C47)</f>
        <v>3472</v>
      </c>
      <c r="D48" s="40">
        <f>SUM(D36:D47)</f>
        <v>218746</v>
      </c>
      <c r="E48" s="41">
        <f>SUM(E36:E47)</f>
        <v>490.34000000000003</v>
      </c>
      <c r="F48" s="111">
        <f t="shared" si="9"/>
        <v>14.122695852534564</v>
      </c>
      <c r="G48" s="40">
        <f>+D48/E48</f>
        <v>446.11086185096053</v>
      </c>
      <c r="H48" s="40">
        <f>+D48/C48</f>
        <v>63.002880184331801</v>
      </c>
    </row>
    <row r="49" spans="1:8" ht="15.75" thickTop="1" thickBot="1" x14ac:dyDescent="0.25"/>
    <row r="50" spans="1:8" ht="31.5" customHeight="1" thickTop="1" thickBot="1" x14ac:dyDescent="0.25">
      <c r="A50" s="364" t="s">
        <v>195</v>
      </c>
      <c r="B50" s="364" t="s">
        <v>407</v>
      </c>
      <c r="C50" s="364" t="s">
        <v>197</v>
      </c>
      <c r="D50" s="364" t="s">
        <v>196</v>
      </c>
      <c r="E50" s="96" t="s">
        <v>18</v>
      </c>
      <c r="F50" s="364" t="s">
        <v>199</v>
      </c>
      <c r="G50" s="364" t="s">
        <v>200</v>
      </c>
      <c r="H50" s="364" t="s">
        <v>323</v>
      </c>
    </row>
    <row r="51" spans="1:8" ht="16.5" thickTop="1" thickBot="1" x14ac:dyDescent="0.25">
      <c r="A51" s="365"/>
      <c r="B51" s="365"/>
      <c r="C51" s="365"/>
      <c r="D51" s="365"/>
      <c r="E51" s="97" t="s">
        <v>216</v>
      </c>
      <c r="F51" s="365"/>
      <c r="G51" s="365"/>
      <c r="H51" s="365"/>
    </row>
    <row r="52" spans="1:8" ht="15" thickTop="1" x14ac:dyDescent="0.2">
      <c r="A52" s="368" t="s">
        <v>218</v>
      </c>
      <c r="B52" s="103" t="s">
        <v>201</v>
      </c>
      <c r="C52" s="114">
        <v>0</v>
      </c>
      <c r="D52" s="114">
        <v>0</v>
      </c>
      <c r="E52" s="112">
        <v>0</v>
      </c>
      <c r="F52" s="108" t="e">
        <f>+E52/(C52/100)</f>
        <v>#DIV/0!</v>
      </c>
      <c r="G52" s="102" t="e">
        <f>+D52/E52</f>
        <v>#DIV/0!</v>
      </c>
      <c r="H52" s="102" t="e">
        <f>+D52/C52</f>
        <v>#DIV/0!</v>
      </c>
    </row>
    <row r="53" spans="1:8" x14ac:dyDescent="0.2">
      <c r="A53" s="395"/>
      <c r="B53" s="105" t="s">
        <v>202</v>
      </c>
      <c r="C53" s="115">
        <v>0</v>
      </c>
      <c r="D53" s="115">
        <v>0</v>
      </c>
      <c r="E53" s="36">
        <v>0</v>
      </c>
      <c r="F53" s="109" t="e">
        <f t="shared" ref="F53:F64" si="18">+E53/(C53/100)</f>
        <v>#DIV/0!</v>
      </c>
      <c r="G53" s="35" t="e">
        <f t="shared" ref="G53:G63" si="19">+D53/E53</f>
        <v>#DIV/0!</v>
      </c>
      <c r="H53" s="35" t="e">
        <f t="shared" ref="H53:H63" si="20">+D53/C53</f>
        <v>#DIV/0!</v>
      </c>
    </row>
    <row r="54" spans="1:8" x14ac:dyDescent="0.2">
      <c r="A54" s="395"/>
      <c r="B54" s="105" t="s">
        <v>203</v>
      </c>
      <c r="C54" s="115">
        <v>381</v>
      </c>
      <c r="D54" s="115">
        <v>20417</v>
      </c>
      <c r="E54" s="36">
        <v>47.03</v>
      </c>
      <c r="F54" s="109">
        <f t="shared" si="18"/>
        <v>12.343832020997375</v>
      </c>
      <c r="G54" s="35">
        <f t="shared" si="19"/>
        <v>434.12715288113969</v>
      </c>
      <c r="H54" s="35">
        <f t="shared" si="20"/>
        <v>53.587926509186353</v>
      </c>
    </row>
    <row r="55" spans="1:8" x14ac:dyDescent="0.2">
      <c r="A55" s="395"/>
      <c r="B55" s="105" t="s">
        <v>204</v>
      </c>
      <c r="C55" s="115">
        <v>496</v>
      </c>
      <c r="D55" s="115">
        <v>21568</v>
      </c>
      <c r="E55" s="36">
        <v>51.12</v>
      </c>
      <c r="F55" s="109">
        <f t="shared" si="18"/>
        <v>10.306451612903226</v>
      </c>
      <c r="G55" s="35">
        <f t="shared" si="19"/>
        <v>421.90923317683882</v>
      </c>
      <c r="H55" s="35">
        <f t="shared" si="20"/>
        <v>43.483870967741936</v>
      </c>
    </row>
    <row r="56" spans="1:8" x14ac:dyDescent="0.2">
      <c r="A56" s="395"/>
      <c r="B56" s="105" t="s">
        <v>205</v>
      </c>
      <c r="C56" s="115">
        <v>0</v>
      </c>
      <c r="D56" s="115">
        <v>0</v>
      </c>
      <c r="E56" s="36">
        <v>0</v>
      </c>
      <c r="F56" s="109" t="e">
        <f t="shared" si="18"/>
        <v>#DIV/0!</v>
      </c>
      <c r="G56" s="35" t="e">
        <f t="shared" si="19"/>
        <v>#DIV/0!</v>
      </c>
      <c r="H56" s="35" t="e">
        <f t="shared" si="20"/>
        <v>#DIV/0!</v>
      </c>
    </row>
    <row r="57" spans="1:8" x14ac:dyDescent="0.2">
      <c r="A57" s="395"/>
      <c r="B57" s="105" t="s">
        <v>206</v>
      </c>
      <c r="C57" s="115">
        <v>603</v>
      </c>
      <c r="D57" s="115">
        <v>31054</v>
      </c>
      <c r="E57" s="36">
        <v>71.83</v>
      </c>
      <c r="F57" s="109">
        <f t="shared" si="18"/>
        <v>11.912106135986733</v>
      </c>
      <c r="G57" s="35">
        <f t="shared" si="19"/>
        <v>432.32632604761244</v>
      </c>
      <c r="H57" s="35">
        <f t="shared" si="20"/>
        <v>51.499170812603651</v>
      </c>
    </row>
    <row r="58" spans="1:8" x14ac:dyDescent="0.2">
      <c r="A58" s="395"/>
      <c r="B58" s="105" t="s">
        <v>207</v>
      </c>
      <c r="C58" s="115">
        <v>211</v>
      </c>
      <c r="D58" s="115">
        <v>23606</v>
      </c>
      <c r="E58" s="36">
        <v>52.94</v>
      </c>
      <c r="F58" s="109">
        <f t="shared" si="18"/>
        <v>25.09004739336493</v>
      </c>
      <c r="G58" s="35">
        <f t="shared" si="19"/>
        <v>445.90102002266718</v>
      </c>
      <c r="H58" s="35">
        <f t="shared" si="20"/>
        <v>111.87677725118483</v>
      </c>
    </row>
    <row r="59" spans="1:8" x14ac:dyDescent="0.2">
      <c r="A59" s="395"/>
      <c r="B59" s="105" t="s">
        <v>208</v>
      </c>
      <c r="C59" s="115">
        <v>0</v>
      </c>
      <c r="D59" s="115">
        <v>0</v>
      </c>
      <c r="E59" s="36">
        <v>0</v>
      </c>
      <c r="F59" s="109" t="e">
        <f t="shared" ref="F59" si="21">+E59/(C59/100)</f>
        <v>#DIV/0!</v>
      </c>
      <c r="G59" s="35" t="e">
        <f t="shared" ref="G59" si="22">+D59/E59</f>
        <v>#DIV/0!</v>
      </c>
      <c r="H59" s="35" t="e">
        <f t="shared" ref="H59" si="23">+D59/C59</f>
        <v>#DIV/0!</v>
      </c>
    </row>
    <row r="60" spans="1:8" x14ac:dyDescent="0.2">
      <c r="A60" s="395"/>
      <c r="B60" s="107" t="s">
        <v>209</v>
      </c>
      <c r="C60" s="116">
        <v>969</v>
      </c>
      <c r="D60" s="116">
        <v>63941</v>
      </c>
      <c r="E60" s="113">
        <v>138.74</v>
      </c>
      <c r="F60" s="110">
        <f t="shared" si="18"/>
        <v>14.317853457172344</v>
      </c>
      <c r="G60" s="104">
        <f t="shared" si="19"/>
        <v>460.8692518379703</v>
      </c>
      <c r="H60" s="104">
        <f t="shared" si="20"/>
        <v>65.986584107327147</v>
      </c>
    </row>
    <row r="61" spans="1:8" x14ac:dyDescent="0.2">
      <c r="A61" s="395"/>
      <c r="B61" s="105" t="s">
        <v>210</v>
      </c>
      <c r="C61" s="115">
        <v>1702</v>
      </c>
      <c r="D61" s="115">
        <v>68289</v>
      </c>
      <c r="E61" s="36">
        <v>136.41</v>
      </c>
      <c r="F61" s="109">
        <f t="shared" si="18"/>
        <v>8.0146886016451226</v>
      </c>
      <c r="G61" s="35">
        <f t="shared" si="19"/>
        <v>500.6157906311854</v>
      </c>
      <c r="H61" s="35">
        <f t="shared" si="20"/>
        <v>40.122796709753231</v>
      </c>
    </row>
    <row r="62" spans="1:8" x14ac:dyDescent="0.2">
      <c r="A62" s="395"/>
      <c r="B62" s="105" t="s">
        <v>211</v>
      </c>
      <c r="C62" s="115">
        <v>905</v>
      </c>
      <c r="D62" s="115">
        <v>50670</v>
      </c>
      <c r="E62" s="36">
        <v>101.56</v>
      </c>
      <c r="F62" s="109">
        <f t="shared" si="18"/>
        <v>11.222099447513811</v>
      </c>
      <c r="G62" s="35">
        <f t="shared" si="19"/>
        <v>498.91689641591176</v>
      </c>
      <c r="H62" s="35">
        <f t="shared" si="20"/>
        <v>55.988950276243095</v>
      </c>
    </row>
    <row r="63" spans="1:8" ht="15" thickBot="1" x14ac:dyDescent="0.25">
      <c r="A63" s="396"/>
      <c r="B63" s="106" t="s">
        <v>212</v>
      </c>
      <c r="C63" s="116">
        <v>942</v>
      </c>
      <c r="D63" s="116">
        <v>52402</v>
      </c>
      <c r="E63" s="113">
        <v>111</v>
      </c>
      <c r="F63" s="110">
        <f t="shared" si="18"/>
        <v>11.783439490445859</v>
      </c>
      <c r="G63" s="104">
        <f t="shared" si="19"/>
        <v>472.09009009009009</v>
      </c>
      <c r="H63" s="104">
        <f t="shared" si="20"/>
        <v>55.628450106157111</v>
      </c>
    </row>
    <row r="64" spans="1:8" ht="16.5" thickTop="1" thickBot="1" x14ac:dyDescent="0.25">
      <c r="A64" s="361" t="s">
        <v>6</v>
      </c>
      <c r="B64" s="362"/>
      <c r="C64" s="40">
        <f>SUM(C52:C63)</f>
        <v>6209</v>
      </c>
      <c r="D64" s="40">
        <f>SUM(D52:D63)</f>
        <v>331947</v>
      </c>
      <c r="E64" s="41">
        <f>SUM(E52:E63)</f>
        <v>710.63000000000011</v>
      </c>
      <c r="F64" s="111">
        <f t="shared" si="18"/>
        <v>11.44516025124819</v>
      </c>
      <c r="G64" s="40">
        <f>+D64/E64</f>
        <v>467.11650225855925</v>
      </c>
      <c r="H64" s="40">
        <f>+D64/C64</f>
        <v>53.462232243517477</v>
      </c>
    </row>
    <row r="65" spans="1:8" ht="15.75" thickTop="1" thickBot="1" x14ac:dyDescent="0.25"/>
    <row r="66" spans="1:8" ht="31.5" customHeight="1" thickTop="1" thickBot="1" x14ac:dyDescent="0.25">
      <c r="A66" s="364" t="s">
        <v>195</v>
      </c>
      <c r="B66" s="364" t="s">
        <v>407</v>
      </c>
      <c r="C66" s="364" t="s">
        <v>197</v>
      </c>
      <c r="D66" s="364" t="s">
        <v>196</v>
      </c>
      <c r="E66" s="96" t="s">
        <v>18</v>
      </c>
      <c r="F66" s="364" t="s">
        <v>199</v>
      </c>
      <c r="G66" s="364" t="s">
        <v>200</v>
      </c>
      <c r="H66" s="364" t="s">
        <v>323</v>
      </c>
    </row>
    <row r="67" spans="1:8" ht="16.5" thickTop="1" thickBot="1" x14ac:dyDescent="0.25">
      <c r="A67" s="365"/>
      <c r="B67" s="365"/>
      <c r="C67" s="365"/>
      <c r="D67" s="365"/>
      <c r="E67" s="97" t="s">
        <v>198</v>
      </c>
      <c r="F67" s="365"/>
      <c r="G67" s="365"/>
      <c r="H67" s="365"/>
    </row>
    <row r="68" spans="1:8" ht="15" thickTop="1" x14ac:dyDescent="0.2">
      <c r="A68" s="368" t="s">
        <v>219</v>
      </c>
      <c r="B68" s="103" t="s">
        <v>201</v>
      </c>
      <c r="C68" s="114">
        <v>550</v>
      </c>
      <c r="D68" s="114">
        <v>12651</v>
      </c>
      <c r="E68" s="112">
        <v>32.53</v>
      </c>
      <c r="F68" s="108">
        <f>+E68/(C68/100)</f>
        <v>5.914545454545455</v>
      </c>
      <c r="G68" s="102">
        <f>+D68/E68</f>
        <v>388.90255149093144</v>
      </c>
      <c r="H68" s="102">
        <f>+D68/C68</f>
        <v>23.00181818181818</v>
      </c>
    </row>
    <row r="69" spans="1:8" x14ac:dyDescent="0.2">
      <c r="A69" s="395"/>
      <c r="B69" s="105" t="s">
        <v>202</v>
      </c>
      <c r="C69" s="115">
        <v>562</v>
      </c>
      <c r="D69" s="115">
        <v>14993</v>
      </c>
      <c r="E69" s="36">
        <v>36.71</v>
      </c>
      <c r="F69" s="109">
        <f t="shared" ref="F69:F80" si="24">+E69/(C69/100)</f>
        <v>6.5320284697508901</v>
      </c>
      <c r="G69" s="35">
        <f t="shared" ref="G69:G79" si="25">+D69/E69</f>
        <v>408.41732497956957</v>
      </c>
      <c r="H69" s="35">
        <f t="shared" ref="H69:H79" si="26">+D69/C69</f>
        <v>26.677935943060497</v>
      </c>
    </row>
    <row r="70" spans="1:8" x14ac:dyDescent="0.2">
      <c r="A70" s="395"/>
      <c r="B70" s="105" t="s">
        <v>203</v>
      </c>
      <c r="C70" s="115">
        <v>446</v>
      </c>
      <c r="D70" s="115">
        <v>11006</v>
      </c>
      <c r="E70" s="36">
        <v>26.4</v>
      </c>
      <c r="F70" s="109">
        <f t="shared" si="24"/>
        <v>5.9192825112107617</v>
      </c>
      <c r="G70" s="35">
        <f t="shared" si="25"/>
        <v>416.89393939393943</v>
      </c>
      <c r="H70" s="35">
        <f t="shared" si="26"/>
        <v>24.67713004484305</v>
      </c>
    </row>
    <row r="71" spans="1:8" x14ac:dyDescent="0.2">
      <c r="A71" s="395"/>
      <c r="B71" s="105" t="s">
        <v>204</v>
      </c>
      <c r="C71" s="115">
        <v>98</v>
      </c>
      <c r="D71" s="115">
        <v>3438</v>
      </c>
      <c r="E71" s="36">
        <v>8.15</v>
      </c>
      <c r="F71" s="109">
        <f t="shared" si="24"/>
        <v>8.3163265306122458</v>
      </c>
      <c r="G71" s="35">
        <f t="shared" si="25"/>
        <v>421.84049079754601</v>
      </c>
      <c r="H71" s="35">
        <f t="shared" si="26"/>
        <v>35.081632653061227</v>
      </c>
    </row>
    <row r="72" spans="1:8" x14ac:dyDescent="0.2">
      <c r="A72" s="395"/>
      <c r="B72" s="105" t="s">
        <v>205</v>
      </c>
      <c r="C72" s="115">
        <v>659</v>
      </c>
      <c r="D72" s="115">
        <v>17482</v>
      </c>
      <c r="E72" s="36">
        <v>41.15</v>
      </c>
      <c r="F72" s="109">
        <f t="shared" si="24"/>
        <v>6.2443095599393015</v>
      </c>
      <c r="G72" s="35">
        <f t="shared" si="25"/>
        <v>424.8359659781288</v>
      </c>
      <c r="H72" s="35">
        <f t="shared" si="26"/>
        <v>26.528072837632777</v>
      </c>
    </row>
    <row r="73" spans="1:8" x14ac:dyDescent="0.2">
      <c r="A73" s="395"/>
      <c r="B73" s="105" t="s">
        <v>206</v>
      </c>
      <c r="C73" s="115">
        <v>681</v>
      </c>
      <c r="D73" s="115">
        <v>17938</v>
      </c>
      <c r="E73" s="36">
        <v>41.86</v>
      </c>
      <c r="F73" s="109">
        <f t="shared" si="24"/>
        <v>6.1468428781204114</v>
      </c>
      <c r="G73" s="35">
        <f t="shared" si="25"/>
        <v>428.52365026278068</v>
      </c>
      <c r="H73" s="35">
        <f t="shared" si="26"/>
        <v>26.340675477239355</v>
      </c>
    </row>
    <row r="74" spans="1:8" x14ac:dyDescent="0.2">
      <c r="A74" s="395"/>
      <c r="B74" s="105" t="s">
        <v>207</v>
      </c>
      <c r="C74" s="115">
        <v>257</v>
      </c>
      <c r="D74" s="115">
        <v>7653</v>
      </c>
      <c r="E74" s="36">
        <v>17.239999999999998</v>
      </c>
      <c r="F74" s="109">
        <f t="shared" si="24"/>
        <v>6.7081712062256811</v>
      </c>
      <c r="G74" s="35">
        <f t="shared" si="25"/>
        <v>443.90951276102095</v>
      </c>
      <c r="H74" s="35">
        <f t="shared" si="26"/>
        <v>29.778210116731518</v>
      </c>
    </row>
    <row r="75" spans="1:8" x14ac:dyDescent="0.2">
      <c r="A75" s="395"/>
      <c r="B75" s="105" t="s">
        <v>208</v>
      </c>
      <c r="C75" s="115">
        <v>136</v>
      </c>
      <c r="D75" s="115">
        <v>4174</v>
      </c>
      <c r="E75" s="36">
        <v>9.51</v>
      </c>
      <c r="F75" s="109">
        <f t="shared" si="24"/>
        <v>6.992647058823529</v>
      </c>
      <c r="G75" s="35">
        <f t="shared" si="25"/>
        <v>438.90641430073606</v>
      </c>
      <c r="H75" s="35">
        <f t="shared" si="26"/>
        <v>30.691176470588236</v>
      </c>
    </row>
    <row r="76" spans="1:8" x14ac:dyDescent="0.2">
      <c r="A76" s="395"/>
      <c r="B76" s="107" t="s">
        <v>209</v>
      </c>
      <c r="C76" s="116">
        <v>1453</v>
      </c>
      <c r="D76" s="116">
        <v>42523</v>
      </c>
      <c r="E76" s="113">
        <v>93.11</v>
      </c>
      <c r="F76" s="110">
        <f t="shared" si="24"/>
        <v>6.4081211286992428</v>
      </c>
      <c r="G76" s="104">
        <f t="shared" si="25"/>
        <v>456.69638062506715</v>
      </c>
      <c r="H76" s="104">
        <f t="shared" si="26"/>
        <v>29.265657260839642</v>
      </c>
    </row>
    <row r="77" spans="1:8" x14ac:dyDescent="0.2">
      <c r="A77" s="395"/>
      <c r="B77" s="105" t="s">
        <v>210</v>
      </c>
      <c r="C77" s="115">
        <v>1323</v>
      </c>
      <c r="D77" s="115">
        <v>40318</v>
      </c>
      <c r="E77" s="36">
        <v>82.95</v>
      </c>
      <c r="F77" s="109">
        <f t="shared" si="24"/>
        <v>6.2698412698412698</v>
      </c>
      <c r="G77" s="35">
        <f t="shared" si="25"/>
        <v>486.05183845690175</v>
      </c>
      <c r="H77" s="35">
        <f t="shared" si="26"/>
        <v>30.474678760393047</v>
      </c>
    </row>
    <row r="78" spans="1:8" x14ac:dyDescent="0.2">
      <c r="A78" s="395"/>
      <c r="B78" s="105" t="s">
        <v>211</v>
      </c>
      <c r="C78" s="115">
        <v>1093</v>
      </c>
      <c r="D78" s="115">
        <v>33767</v>
      </c>
      <c r="E78" s="36">
        <v>68.5</v>
      </c>
      <c r="F78" s="109">
        <f t="shared" si="24"/>
        <v>6.2671546203110706</v>
      </c>
      <c r="G78" s="35">
        <f t="shared" si="25"/>
        <v>492.94890510948903</v>
      </c>
      <c r="H78" s="35">
        <f t="shared" si="26"/>
        <v>30.893870082342179</v>
      </c>
    </row>
    <row r="79" spans="1:8" ht="15" thickBot="1" x14ac:dyDescent="0.25">
      <c r="A79" s="396"/>
      <c r="B79" s="106" t="s">
        <v>212</v>
      </c>
      <c r="C79" s="116">
        <v>350</v>
      </c>
      <c r="D79" s="116">
        <v>10671</v>
      </c>
      <c r="E79" s="113">
        <v>22.47</v>
      </c>
      <c r="F79" s="110">
        <f t="shared" si="24"/>
        <v>6.42</v>
      </c>
      <c r="G79" s="104">
        <f t="shared" si="25"/>
        <v>474.89986648865158</v>
      </c>
      <c r="H79" s="104">
        <f t="shared" si="26"/>
        <v>30.488571428571429</v>
      </c>
    </row>
    <row r="80" spans="1:8" ht="16.5" thickTop="1" thickBot="1" x14ac:dyDescent="0.25">
      <c r="A80" s="361" t="s">
        <v>6</v>
      </c>
      <c r="B80" s="362"/>
      <c r="C80" s="40">
        <f>SUM(C68:C79)</f>
        <v>7608</v>
      </c>
      <c r="D80" s="40">
        <f>SUM(D68:D79)</f>
        <v>216614</v>
      </c>
      <c r="E80" s="41">
        <f>SUM(E68:E79)</f>
        <v>480.58000000000004</v>
      </c>
      <c r="F80" s="111">
        <f t="shared" si="24"/>
        <v>6.3167718191377507</v>
      </c>
      <c r="G80" s="40">
        <f>+D80/E80</f>
        <v>450.73452911065789</v>
      </c>
      <c r="H80" s="40">
        <f>+D80/C80</f>
        <v>28.47187171398528</v>
      </c>
    </row>
    <row r="81" spans="1:8" ht="15.75" thickTop="1" thickBot="1" x14ac:dyDescent="0.25"/>
    <row r="82" spans="1:8" ht="31.5" customHeight="1" thickTop="1" thickBot="1" x14ac:dyDescent="0.25">
      <c r="A82" s="364" t="s">
        <v>195</v>
      </c>
      <c r="B82" s="364" t="s">
        <v>407</v>
      </c>
      <c r="C82" s="364" t="s">
        <v>197</v>
      </c>
      <c r="D82" s="364" t="s">
        <v>196</v>
      </c>
      <c r="E82" s="96" t="s">
        <v>18</v>
      </c>
      <c r="F82" s="364" t="s">
        <v>199</v>
      </c>
      <c r="G82" s="364" t="s">
        <v>200</v>
      </c>
      <c r="H82" s="364" t="s">
        <v>323</v>
      </c>
    </row>
    <row r="83" spans="1:8" ht="16.5" thickTop="1" thickBot="1" x14ac:dyDescent="0.25">
      <c r="A83" s="365"/>
      <c r="B83" s="365"/>
      <c r="C83" s="365"/>
      <c r="D83" s="365"/>
      <c r="E83" s="97" t="s">
        <v>216</v>
      </c>
      <c r="F83" s="365"/>
      <c r="G83" s="365"/>
      <c r="H83" s="365"/>
    </row>
    <row r="84" spans="1:8" ht="15" thickTop="1" x14ac:dyDescent="0.2">
      <c r="A84" s="368" t="s">
        <v>220</v>
      </c>
      <c r="B84" s="103" t="s">
        <v>201</v>
      </c>
      <c r="C84" s="114">
        <v>623</v>
      </c>
      <c r="D84" s="114">
        <v>20463</v>
      </c>
      <c r="E84" s="112">
        <v>51.17</v>
      </c>
      <c r="F84" s="108">
        <f>+E84/(C84/100)</f>
        <v>8.213483146067416</v>
      </c>
      <c r="G84" s="102">
        <f>+D84/E84</f>
        <v>399.90228649599374</v>
      </c>
      <c r="H84" s="102">
        <f>+D84/C84</f>
        <v>32.845906902086675</v>
      </c>
    </row>
    <row r="85" spans="1:8" x14ac:dyDescent="0.2">
      <c r="A85" s="395"/>
      <c r="B85" s="105" t="s">
        <v>202</v>
      </c>
      <c r="C85" s="115">
        <v>0</v>
      </c>
      <c r="D85" s="115">
        <v>0</v>
      </c>
      <c r="E85" s="36">
        <v>0</v>
      </c>
      <c r="F85" s="109" t="e">
        <f t="shared" ref="F85:F96" si="27">+E85/(C85/100)</f>
        <v>#DIV/0!</v>
      </c>
      <c r="G85" s="35" t="e">
        <f t="shared" ref="G85:G95" si="28">+D85/E85</f>
        <v>#DIV/0!</v>
      </c>
      <c r="H85" s="35" t="e">
        <f t="shared" ref="H85:H95" si="29">+D85/C85</f>
        <v>#DIV/0!</v>
      </c>
    </row>
    <row r="86" spans="1:8" x14ac:dyDescent="0.2">
      <c r="A86" s="395"/>
      <c r="B86" s="105" t="s">
        <v>203</v>
      </c>
      <c r="C86" s="115">
        <v>765</v>
      </c>
      <c r="D86" s="115">
        <v>40868</v>
      </c>
      <c r="E86" s="36">
        <v>95.18</v>
      </c>
      <c r="F86" s="109">
        <f t="shared" si="27"/>
        <v>12.441830065359477</v>
      </c>
      <c r="G86" s="35">
        <f t="shared" si="28"/>
        <v>429.37591931077952</v>
      </c>
      <c r="H86" s="35">
        <f t="shared" si="29"/>
        <v>53.422222222222224</v>
      </c>
    </row>
    <row r="87" spans="1:8" x14ac:dyDescent="0.2">
      <c r="A87" s="395"/>
      <c r="B87" s="105" t="s">
        <v>204</v>
      </c>
      <c r="C87" s="115">
        <v>689</v>
      </c>
      <c r="D87" s="115">
        <v>22068</v>
      </c>
      <c r="E87" s="36">
        <v>52.68</v>
      </c>
      <c r="F87" s="109">
        <f t="shared" si="27"/>
        <v>7.6458635703918727</v>
      </c>
      <c r="G87" s="35">
        <f t="shared" si="28"/>
        <v>418.90660592255125</v>
      </c>
      <c r="H87" s="35">
        <f t="shared" si="29"/>
        <v>32.029027576197386</v>
      </c>
    </row>
    <row r="88" spans="1:8" x14ac:dyDescent="0.2">
      <c r="A88" s="395"/>
      <c r="B88" s="105" t="s">
        <v>205</v>
      </c>
      <c r="C88" s="115">
        <v>505</v>
      </c>
      <c r="D88" s="115">
        <v>17503</v>
      </c>
      <c r="E88" s="36">
        <v>41.29</v>
      </c>
      <c r="F88" s="109">
        <f t="shared" si="27"/>
        <v>8.1762376237623755</v>
      </c>
      <c r="G88" s="35">
        <f t="shared" si="28"/>
        <v>423.90409300072656</v>
      </c>
      <c r="H88" s="35">
        <f t="shared" si="29"/>
        <v>34.659405940594063</v>
      </c>
    </row>
    <row r="89" spans="1:8" x14ac:dyDescent="0.2">
      <c r="A89" s="395"/>
      <c r="B89" s="105" t="s">
        <v>206</v>
      </c>
      <c r="C89" s="115">
        <v>993</v>
      </c>
      <c r="D89" s="115">
        <v>35027</v>
      </c>
      <c r="E89" s="36">
        <v>80.48</v>
      </c>
      <c r="F89" s="109">
        <f t="shared" si="27"/>
        <v>8.1047331319234655</v>
      </c>
      <c r="G89" s="35">
        <f t="shared" si="28"/>
        <v>435.22614314115305</v>
      </c>
      <c r="H89" s="35">
        <f t="shared" si="29"/>
        <v>35.273917421953676</v>
      </c>
    </row>
    <row r="90" spans="1:8" x14ac:dyDescent="0.2">
      <c r="A90" s="395"/>
      <c r="B90" s="105" t="s">
        <v>207</v>
      </c>
      <c r="C90" s="115">
        <v>120</v>
      </c>
      <c r="D90" s="115">
        <v>4949</v>
      </c>
      <c r="E90" s="36">
        <v>11.05</v>
      </c>
      <c r="F90" s="109">
        <f t="shared" si="27"/>
        <v>9.2083333333333339</v>
      </c>
      <c r="G90" s="35">
        <f t="shared" si="28"/>
        <v>447.87330316742077</v>
      </c>
      <c r="H90" s="35">
        <f t="shared" si="29"/>
        <v>41.241666666666667</v>
      </c>
    </row>
    <row r="91" spans="1:8" x14ac:dyDescent="0.2">
      <c r="A91" s="395"/>
      <c r="B91" s="105" t="s">
        <v>208</v>
      </c>
      <c r="C91" s="115">
        <v>435</v>
      </c>
      <c r="D91" s="115">
        <v>15788</v>
      </c>
      <c r="E91" s="36">
        <v>36.299999999999997</v>
      </c>
      <c r="F91" s="109">
        <f t="shared" si="27"/>
        <v>8.3448275862068968</v>
      </c>
      <c r="G91" s="35">
        <f t="shared" si="28"/>
        <v>434.93112947658403</v>
      </c>
      <c r="H91" s="35">
        <f t="shared" si="29"/>
        <v>36.294252873563217</v>
      </c>
    </row>
    <row r="92" spans="1:8" x14ac:dyDescent="0.2">
      <c r="A92" s="395"/>
      <c r="B92" s="107" t="s">
        <v>209</v>
      </c>
      <c r="C92" s="116">
        <v>855</v>
      </c>
      <c r="D92" s="116">
        <v>32556</v>
      </c>
      <c r="E92" s="113">
        <v>69.86</v>
      </c>
      <c r="F92" s="110">
        <f t="shared" si="27"/>
        <v>8.1707602339181271</v>
      </c>
      <c r="G92" s="104">
        <f t="shared" si="28"/>
        <v>466.01774978528488</v>
      </c>
      <c r="H92" s="104">
        <f t="shared" si="29"/>
        <v>38.07719298245614</v>
      </c>
    </row>
    <row r="93" spans="1:8" x14ac:dyDescent="0.2">
      <c r="A93" s="395"/>
      <c r="B93" s="105" t="s">
        <v>210</v>
      </c>
      <c r="C93" s="115">
        <v>1568</v>
      </c>
      <c r="D93" s="115">
        <v>69820</v>
      </c>
      <c r="E93" s="36">
        <v>140.4</v>
      </c>
      <c r="F93" s="109">
        <f t="shared" si="27"/>
        <v>8.954081632653061</v>
      </c>
      <c r="G93" s="35">
        <f t="shared" si="28"/>
        <v>497.29344729344729</v>
      </c>
      <c r="H93" s="35">
        <f t="shared" si="29"/>
        <v>44.528061224489797</v>
      </c>
    </row>
    <row r="94" spans="1:8" x14ac:dyDescent="0.2">
      <c r="A94" s="395"/>
      <c r="B94" s="105" t="s">
        <v>211</v>
      </c>
      <c r="C94" s="115">
        <v>2332</v>
      </c>
      <c r="D94" s="115">
        <v>95257</v>
      </c>
      <c r="E94" s="36">
        <v>192.61</v>
      </c>
      <c r="F94" s="109">
        <f t="shared" si="27"/>
        <v>8.2594339622641506</v>
      </c>
      <c r="G94" s="35">
        <f t="shared" si="28"/>
        <v>494.5589533253725</v>
      </c>
      <c r="H94" s="35">
        <f t="shared" si="29"/>
        <v>40.847770154373926</v>
      </c>
    </row>
    <row r="95" spans="1:8" ht="15" thickBot="1" x14ac:dyDescent="0.25">
      <c r="A95" s="396"/>
      <c r="B95" s="106" t="s">
        <v>212</v>
      </c>
      <c r="C95" s="116">
        <v>1017</v>
      </c>
      <c r="D95" s="116">
        <v>39091</v>
      </c>
      <c r="E95" s="113">
        <v>82.38</v>
      </c>
      <c r="F95" s="110">
        <f t="shared" si="27"/>
        <v>8.1002949852507378</v>
      </c>
      <c r="G95" s="104">
        <f t="shared" si="28"/>
        <v>474.52051468803108</v>
      </c>
      <c r="H95" s="104">
        <f t="shared" si="29"/>
        <v>38.437561455260571</v>
      </c>
    </row>
    <row r="96" spans="1:8" ht="16.5" thickTop="1" thickBot="1" x14ac:dyDescent="0.25">
      <c r="A96" s="361" t="s">
        <v>6</v>
      </c>
      <c r="B96" s="362"/>
      <c r="C96" s="40">
        <f>SUM(C84:C95)</f>
        <v>9902</v>
      </c>
      <c r="D96" s="40">
        <f>SUM(D84:D95)</f>
        <v>393390</v>
      </c>
      <c r="E96" s="41">
        <f>SUM(E84:E95)</f>
        <v>853.40000000000009</v>
      </c>
      <c r="F96" s="111">
        <f t="shared" si="27"/>
        <v>8.6184609169864679</v>
      </c>
      <c r="G96" s="40">
        <f>+D96/E96</f>
        <v>460.96789313334892</v>
      </c>
      <c r="H96" s="40">
        <f>+D96/C96</f>
        <v>39.728337709553628</v>
      </c>
    </row>
    <row r="97" spans="1:8" ht="15.75" thickTop="1" thickBot="1" x14ac:dyDescent="0.25"/>
    <row r="98" spans="1:8" ht="31.5" customHeight="1" thickTop="1" thickBot="1" x14ac:dyDescent="0.25">
      <c r="A98" s="364" t="s">
        <v>195</v>
      </c>
      <c r="B98" s="364" t="s">
        <v>407</v>
      </c>
      <c r="C98" s="364" t="s">
        <v>197</v>
      </c>
      <c r="D98" s="364" t="s">
        <v>196</v>
      </c>
      <c r="E98" s="296" t="s">
        <v>18</v>
      </c>
      <c r="F98" s="364" t="s">
        <v>199</v>
      </c>
      <c r="G98" s="364" t="s">
        <v>200</v>
      </c>
      <c r="H98" s="364" t="s">
        <v>323</v>
      </c>
    </row>
    <row r="99" spans="1:8" ht="16.5" thickTop="1" thickBot="1" x14ac:dyDescent="0.25">
      <c r="A99" s="365"/>
      <c r="B99" s="365"/>
      <c r="C99" s="365"/>
      <c r="D99" s="365"/>
      <c r="E99" s="297" t="s">
        <v>216</v>
      </c>
      <c r="F99" s="365"/>
      <c r="G99" s="365"/>
      <c r="H99" s="365"/>
    </row>
    <row r="100" spans="1:8" ht="15" thickTop="1" x14ac:dyDescent="0.2">
      <c r="A100" s="368" t="s">
        <v>388</v>
      </c>
      <c r="B100" s="103" t="s">
        <v>201</v>
      </c>
      <c r="C100" s="114">
        <v>0</v>
      </c>
      <c r="D100" s="114">
        <v>0</v>
      </c>
      <c r="E100" s="112">
        <v>0</v>
      </c>
      <c r="F100" s="108" t="e">
        <f>+E100/(C100/100)</f>
        <v>#DIV/0!</v>
      </c>
      <c r="G100" s="102" t="e">
        <f>+D100/E100</f>
        <v>#DIV/0!</v>
      </c>
      <c r="H100" s="102" t="e">
        <f>+D100/C100</f>
        <v>#DIV/0!</v>
      </c>
    </row>
    <row r="101" spans="1:8" x14ac:dyDescent="0.2">
      <c r="A101" s="395"/>
      <c r="B101" s="105" t="s">
        <v>202</v>
      </c>
      <c r="C101" s="115">
        <v>0</v>
      </c>
      <c r="D101" s="115">
        <v>0</v>
      </c>
      <c r="E101" s="36">
        <v>0</v>
      </c>
      <c r="F101" s="109" t="e">
        <f t="shared" ref="F101:F112" si="30">+E101/(C101/100)</f>
        <v>#DIV/0!</v>
      </c>
      <c r="G101" s="35" t="e">
        <f t="shared" ref="G101:G111" si="31">+D101/E101</f>
        <v>#DIV/0!</v>
      </c>
      <c r="H101" s="35" t="e">
        <f t="shared" ref="H101:H111" si="32">+D101/C101</f>
        <v>#DIV/0!</v>
      </c>
    </row>
    <row r="102" spans="1:8" x14ac:dyDescent="0.2">
      <c r="A102" s="395"/>
      <c r="B102" s="105" t="s">
        <v>203</v>
      </c>
      <c r="C102" s="115">
        <v>673</v>
      </c>
      <c r="D102" s="115">
        <v>30321</v>
      </c>
      <c r="E102" s="36">
        <v>69.78</v>
      </c>
      <c r="F102" s="109">
        <f t="shared" si="30"/>
        <v>10.368499257057948</v>
      </c>
      <c r="G102" s="35">
        <f t="shared" si="31"/>
        <v>434.52278589853825</v>
      </c>
      <c r="H102" s="35">
        <f t="shared" si="32"/>
        <v>45.053491827637444</v>
      </c>
    </row>
    <row r="103" spans="1:8" x14ac:dyDescent="0.2">
      <c r="A103" s="395"/>
      <c r="B103" s="105" t="s">
        <v>204</v>
      </c>
      <c r="C103" s="115">
        <v>0</v>
      </c>
      <c r="D103" s="115">
        <v>0</v>
      </c>
      <c r="E103" s="36">
        <v>0</v>
      </c>
      <c r="F103" s="109" t="e">
        <f t="shared" si="30"/>
        <v>#DIV/0!</v>
      </c>
      <c r="G103" s="35" t="e">
        <f t="shared" si="31"/>
        <v>#DIV/0!</v>
      </c>
      <c r="H103" s="35" t="e">
        <f t="shared" si="32"/>
        <v>#DIV/0!</v>
      </c>
    </row>
    <row r="104" spans="1:8" x14ac:dyDescent="0.2">
      <c r="A104" s="395"/>
      <c r="B104" s="105" t="s">
        <v>205</v>
      </c>
      <c r="C104" s="115">
        <v>0</v>
      </c>
      <c r="D104" s="115">
        <v>0</v>
      </c>
      <c r="E104" s="36">
        <v>0</v>
      </c>
      <c r="F104" s="109" t="e">
        <f t="shared" si="30"/>
        <v>#DIV/0!</v>
      </c>
      <c r="G104" s="35" t="e">
        <f t="shared" si="31"/>
        <v>#DIV/0!</v>
      </c>
      <c r="H104" s="35" t="e">
        <f t="shared" si="32"/>
        <v>#DIV/0!</v>
      </c>
    </row>
    <row r="105" spans="1:8" x14ac:dyDescent="0.2">
      <c r="A105" s="395"/>
      <c r="B105" s="105" t="s">
        <v>206</v>
      </c>
      <c r="C105" s="115">
        <v>1129</v>
      </c>
      <c r="D105" s="115">
        <v>39057</v>
      </c>
      <c r="E105" s="36">
        <v>89.72</v>
      </c>
      <c r="F105" s="109">
        <f t="shared" si="30"/>
        <v>7.946855624446413</v>
      </c>
      <c r="G105" s="35">
        <f t="shared" si="31"/>
        <v>435.32099866250559</v>
      </c>
      <c r="H105" s="35">
        <f t="shared" si="32"/>
        <v>34.594331266607618</v>
      </c>
    </row>
    <row r="106" spans="1:8" x14ac:dyDescent="0.2">
      <c r="A106" s="395"/>
      <c r="B106" s="105" t="s">
        <v>207</v>
      </c>
      <c r="C106" s="115">
        <v>1461</v>
      </c>
      <c r="D106" s="115">
        <v>78045</v>
      </c>
      <c r="E106" s="36">
        <v>174.24</v>
      </c>
      <c r="F106" s="109">
        <f t="shared" si="30"/>
        <v>11.926078028747435</v>
      </c>
      <c r="G106" s="35">
        <f t="shared" si="31"/>
        <v>447.91666666666663</v>
      </c>
      <c r="H106" s="35">
        <f t="shared" si="32"/>
        <v>53.418891170431209</v>
      </c>
    </row>
    <row r="107" spans="1:8" x14ac:dyDescent="0.2">
      <c r="A107" s="395"/>
      <c r="B107" s="105" t="s">
        <v>208</v>
      </c>
      <c r="C107" s="115">
        <v>1746</v>
      </c>
      <c r="D107" s="115">
        <v>58963</v>
      </c>
      <c r="E107" s="36">
        <v>132.84</v>
      </c>
      <c r="F107" s="109">
        <f t="shared" si="30"/>
        <v>7.608247422680412</v>
      </c>
      <c r="G107" s="35">
        <f t="shared" si="31"/>
        <v>443.86479975910868</v>
      </c>
      <c r="H107" s="35">
        <f t="shared" si="32"/>
        <v>33.77033218785796</v>
      </c>
    </row>
    <row r="108" spans="1:8" x14ac:dyDescent="0.2">
      <c r="A108" s="395"/>
      <c r="B108" s="107" t="s">
        <v>209</v>
      </c>
      <c r="C108" s="116">
        <v>1021</v>
      </c>
      <c r="D108" s="116">
        <v>18560</v>
      </c>
      <c r="E108" s="113">
        <v>40.89</v>
      </c>
      <c r="F108" s="110">
        <f t="shared" si="30"/>
        <v>4.0048971596474043</v>
      </c>
      <c r="G108" s="104">
        <f t="shared" si="31"/>
        <v>453.90070921985813</v>
      </c>
      <c r="H108" s="104">
        <f t="shared" si="32"/>
        <v>18.178256611165523</v>
      </c>
    </row>
    <row r="109" spans="1:8" x14ac:dyDescent="0.2">
      <c r="A109" s="395"/>
      <c r="B109" s="105" t="s">
        <v>210</v>
      </c>
      <c r="C109" s="115">
        <v>1137</v>
      </c>
      <c r="D109" s="115">
        <v>77496</v>
      </c>
      <c r="E109" s="36">
        <v>157.38</v>
      </c>
      <c r="F109" s="109">
        <f t="shared" si="30"/>
        <v>13.841688654353563</v>
      </c>
      <c r="G109" s="35">
        <f t="shared" si="31"/>
        <v>492.41326725123906</v>
      </c>
      <c r="H109" s="35">
        <f t="shared" si="32"/>
        <v>68.158311345646439</v>
      </c>
    </row>
    <row r="110" spans="1:8" x14ac:dyDescent="0.2">
      <c r="A110" s="395"/>
      <c r="B110" s="105" t="s">
        <v>211</v>
      </c>
      <c r="C110" s="115">
        <v>0</v>
      </c>
      <c r="D110" s="115">
        <v>0</v>
      </c>
      <c r="E110" s="36">
        <v>0</v>
      </c>
      <c r="F110" s="109" t="e">
        <f t="shared" si="30"/>
        <v>#DIV/0!</v>
      </c>
      <c r="G110" s="35" t="e">
        <f t="shared" si="31"/>
        <v>#DIV/0!</v>
      </c>
      <c r="H110" s="35" t="e">
        <f t="shared" si="32"/>
        <v>#DIV/0!</v>
      </c>
    </row>
    <row r="111" spans="1:8" ht="15" thickBot="1" x14ac:dyDescent="0.25">
      <c r="A111" s="396"/>
      <c r="B111" s="106" t="s">
        <v>212</v>
      </c>
      <c r="C111" s="116">
        <v>598</v>
      </c>
      <c r="D111" s="116">
        <v>10704</v>
      </c>
      <c r="E111" s="113">
        <v>22.78</v>
      </c>
      <c r="F111" s="110">
        <f t="shared" si="30"/>
        <v>3.8093645484949832</v>
      </c>
      <c r="G111" s="104">
        <f t="shared" si="31"/>
        <v>469.88586479367865</v>
      </c>
      <c r="H111" s="104">
        <f t="shared" si="32"/>
        <v>17.899665551839465</v>
      </c>
    </row>
    <row r="112" spans="1:8" ht="16.5" thickTop="1" thickBot="1" x14ac:dyDescent="0.25">
      <c r="A112" s="361" t="s">
        <v>6</v>
      </c>
      <c r="B112" s="362"/>
      <c r="C112" s="40">
        <f>SUM(C100:C111)</f>
        <v>7765</v>
      </c>
      <c r="D112" s="40">
        <f>SUM(D100:D111)</f>
        <v>313146</v>
      </c>
      <c r="E112" s="41">
        <f>SUM(E100:E111)</f>
        <v>687.63</v>
      </c>
      <c r="F112" s="111">
        <f t="shared" si="30"/>
        <v>8.8555054732775265</v>
      </c>
      <c r="G112" s="40">
        <f>+D112/E112</f>
        <v>455.39897910213341</v>
      </c>
      <c r="H112" s="40">
        <f>+D112/C112</f>
        <v>40.327881519639405</v>
      </c>
    </row>
    <row r="113" spans="1:8" ht="15.75" thickTop="1" thickBot="1" x14ac:dyDescent="0.25"/>
    <row r="114" spans="1:8" ht="31.5" customHeight="1" thickTop="1" thickBot="1" x14ac:dyDescent="0.25">
      <c r="A114" s="364" t="s">
        <v>195</v>
      </c>
      <c r="B114" s="364" t="s">
        <v>407</v>
      </c>
      <c r="C114" s="364" t="s">
        <v>197</v>
      </c>
      <c r="D114" s="364" t="s">
        <v>196</v>
      </c>
      <c r="E114" s="304" t="s">
        <v>18</v>
      </c>
      <c r="F114" s="364" t="s">
        <v>199</v>
      </c>
      <c r="G114" s="364" t="s">
        <v>200</v>
      </c>
      <c r="H114" s="364" t="s">
        <v>323</v>
      </c>
    </row>
    <row r="115" spans="1:8" ht="16.5" thickTop="1" thickBot="1" x14ac:dyDescent="0.25">
      <c r="A115" s="365"/>
      <c r="B115" s="365"/>
      <c r="C115" s="365"/>
      <c r="D115" s="365"/>
      <c r="E115" s="305" t="s">
        <v>216</v>
      </c>
      <c r="F115" s="365"/>
      <c r="G115" s="365"/>
      <c r="H115" s="365"/>
    </row>
    <row r="116" spans="1:8" ht="15" thickTop="1" x14ac:dyDescent="0.2">
      <c r="A116" s="368" t="s">
        <v>221</v>
      </c>
      <c r="B116" s="103" t="s">
        <v>201</v>
      </c>
      <c r="C116" s="114">
        <v>0</v>
      </c>
      <c r="D116" s="114">
        <v>0</v>
      </c>
      <c r="E116" s="112">
        <v>0</v>
      </c>
      <c r="F116" s="108" t="e">
        <f>+E116/(C116/100)</f>
        <v>#DIV/0!</v>
      </c>
      <c r="G116" s="102" t="e">
        <f>+D116/E116</f>
        <v>#DIV/0!</v>
      </c>
      <c r="H116" s="102" t="e">
        <f>+D116/C116</f>
        <v>#DIV/0!</v>
      </c>
    </row>
    <row r="117" spans="1:8" x14ac:dyDescent="0.2">
      <c r="A117" s="395"/>
      <c r="B117" s="105" t="s">
        <v>202</v>
      </c>
      <c r="C117" s="115">
        <v>0</v>
      </c>
      <c r="D117" s="115">
        <v>0</v>
      </c>
      <c r="E117" s="36">
        <v>0</v>
      </c>
      <c r="F117" s="109" t="e">
        <f t="shared" ref="F117:F128" si="33">+E117/(C117/100)</f>
        <v>#DIV/0!</v>
      </c>
      <c r="G117" s="35" t="e">
        <f t="shared" ref="G117:G127" si="34">+D117/E117</f>
        <v>#DIV/0!</v>
      </c>
      <c r="H117" s="35" t="e">
        <f t="shared" ref="H117:H127" si="35">+D117/C117</f>
        <v>#DIV/0!</v>
      </c>
    </row>
    <row r="118" spans="1:8" x14ac:dyDescent="0.2">
      <c r="A118" s="395"/>
      <c r="B118" s="105" t="s">
        <v>203</v>
      </c>
      <c r="C118" s="115">
        <v>1184</v>
      </c>
      <c r="D118" s="115">
        <v>19870</v>
      </c>
      <c r="E118" s="36">
        <v>45.9</v>
      </c>
      <c r="F118" s="109">
        <f t="shared" si="33"/>
        <v>3.876689189189189</v>
      </c>
      <c r="G118" s="35">
        <f t="shared" si="34"/>
        <v>432.89760348583877</v>
      </c>
      <c r="H118" s="35">
        <f t="shared" si="35"/>
        <v>16.782094594594593</v>
      </c>
    </row>
    <row r="119" spans="1:8" x14ac:dyDescent="0.2">
      <c r="A119" s="395"/>
      <c r="B119" s="105" t="s">
        <v>204</v>
      </c>
      <c r="C119" s="115">
        <v>1291</v>
      </c>
      <c r="D119" s="115">
        <v>58315</v>
      </c>
      <c r="E119" s="36">
        <v>138.66999999999999</v>
      </c>
      <c r="F119" s="109">
        <f t="shared" si="33"/>
        <v>10.741285824941905</v>
      </c>
      <c r="G119" s="35">
        <f t="shared" si="34"/>
        <v>420.53075647220021</v>
      </c>
      <c r="H119" s="35">
        <f t="shared" si="35"/>
        <v>45.170410534469404</v>
      </c>
    </row>
    <row r="120" spans="1:8" x14ac:dyDescent="0.2">
      <c r="A120" s="395"/>
      <c r="B120" s="105" t="s">
        <v>205</v>
      </c>
      <c r="C120" s="115">
        <v>860</v>
      </c>
      <c r="D120" s="115">
        <v>32589</v>
      </c>
      <c r="E120" s="36">
        <v>75.28</v>
      </c>
      <c r="F120" s="109">
        <f t="shared" si="33"/>
        <v>8.7534883720930239</v>
      </c>
      <c r="G120" s="35">
        <f t="shared" si="34"/>
        <v>432.90382571732198</v>
      </c>
      <c r="H120" s="35">
        <f t="shared" si="35"/>
        <v>37.894186046511628</v>
      </c>
    </row>
    <row r="121" spans="1:8" x14ac:dyDescent="0.2">
      <c r="A121" s="395"/>
      <c r="B121" s="105" t="s">
        <v>206</v>
      </c>
      <c r="C121" s="115">
        <v>0</v>
      </c>
      <c r="D121" s="115">
        <v>0</v>
      </c>
      <c r="E121" s="36">
        <v>0</v>
      </c>
      <c r="F121" s="109" t="e">
        <f t="shared" si="33"/>
        <v>#DIV/0!</v>
      </c>
      <c r="G121" s="35" t="e">
        <f t="shared" si="34"/>
        <v>#DIV/0!</v>
      </c>
      <c r="H121" s="35" t="e">
        <f t="shared" si="35"/>
        <v>#DIV/0!</v>
      </c>
    </row>
    <row r="122" spans="1:8" x14ac:dyDescent="0.2">
      <c r="A122" s="395"/>
      <c r="B122" s="105" t="s">
        <v>207</v>
      </c>
      <c r="C122" s="115">
        <v>598</v>
      </c>
      <c r="D122" s="115">
        <v>49756</v>
      </c>
      <c r="E122" s="36">
        <v>84.27</v>
      </c>
      <c r="F122" s="109">
        <f t="shared" si="33"/>
        <v>14.091973244147155</v>
      </c>
      <c r="G122" s="35">
        <f t="shared" si="34"/>
        <v>590.43550492464703</v>
      </c>
      <c r="H122" s="35">
        <f t="shared" si="35"/>
        <v>83.204013377926415</v>
      </c>
    </row>
    <row r="123" spans="1:8" x14ac:dyDescent="0.2">
      <c r="A123" s="395"/>
      <c r="B123" s="105" t="s">
        <v>208</v>
      </c>
      <c r="C123" s="115">
        <v>0</v>
      </c>
      <c r="D123" s="115">
        <v>0</v>
      </c>
      <c r="E123" s="36">
        <v>0</v>
      </c>
      <c r="F123" s="109" t="e">
        <f t="shared" si="33"/>
        <v>#DIV/0!</v>
      </c>
      <c r="G123" s="35" t="e">
        <f t="shared" si="34"/>
        <v>#DIV/0!</v>
      </c>
      <c r="H123" s="35" t="e">
        <f t="shared" si="35"/>
        <v>#DIV/0!</v>
      </c>
    </row>
    <row r="124" spans="1:8" x14ac:dyDescent="0.2">
      <c r="A124" s="395"/>
      <c r="B124" s="107" t="s">
        <v>209</v>
      </c>
      <c r="C124" s="116">
        <v>0</v>
      </c>
      <c r="D124" s="116">
        <v>0</v>
      </c>
      <c r="E124" s="113">
        <v>0</v>
      </c>
      <c r="F124" s="110" t="e">
        <f t="shared" si="33"/>
        <v>#DIV/0!</v>
      </c>
      <c r="G124" s="104" t="e">
        <f t="shared" si="34"/>
        <v>#DIV/0!</v>
      </c>
      <c r="H124" s="104" t="e">
        <f t="shared" si="35"/>
        <v>#DIV/0!</v>
      </c>
    </row>
    <row r="125" spans="1:8" x14ac:dyDescent="0.2">
      <c r="A125" s="395"/>
      <c r="B125" s="105" t="s">
        <v>210</v>
      </c>
      <c r="C125" s="115">
        <v>731</v>
      </c>
      <c r="D125" s="115">
        <v>0</v>
      </c>
      <c r="E125" s="36">
        <v>0</v>
      </c>
      <c r="F125" s="109">
        <f t="shared" si="33"/>
        <v>0</v>
      </c>
      <c r="G125" s="35" t="e">
        <f t="shared" si="34"/>
        <v>#DIV/0!</v>
      </c>
      <c r="H125" s="35">
        <f t="shared" si="35"/>
        <v>0</v>
      </c>
    </row>
    <row r="126" spans="1:8" x14ac:dyDescent="0.2">
      <c r="A126" s="395"/>
      <c r="B126" s="105" t="s">
        <v>211</v>
      </c>
      <c r="C126" s="115">
        <v>691</v>
      </c>
      <c r="D126" s="115">
        <v>44659</v>
      </c>
      <c r="E126" s="36">
        <v>86.23</v>
      </c>
      <c r="F126" s="109">
        <f t="shared" si="33"/>
        <v>12.479015918958032</v>
      </c>
      <c r="G126" s="35">
        <f t="shared" si="34"/>
        <v>517.90560129885193</v>
      </c>
      <c r="H126" s="35">
        <f t="shared" si="35"/>
        <v>64.629522431259048</v>
      </c>
    </row>
    <row r="127" spans="1:8" ht="15" thickBot="1" x14ac:dyDescent="0.25">
      <c r="A127" s="396"/>
      <c r="B127" s="106" t="s">
        <v>212</v>
      </c>
      <c r="C127" s="116">
        <v>715</v>
      </c>
      <c r="D127" s="116">
        <v>41756</v>
      </c>
      <c r="E127" s="113">
        <v>87.01</v>
      </c>
      <c r="F127" s="110">
        <f t="shared" si="33"/>
        <v>12.169230769230769</v>
      </c>
      <c r="G127" s="104">
        <f t="shared" si="34"/>
        <v>479.8988621997471</v>
      </c>
      <c r="H127" s="104">
        <f t="shared" si="35"/>
        <v>58.4</v>
      </c>
    </row>
    <row r="128" spans="1:8" ht="16.5" thickTop="1" thickBot="1" x14ac:dyDescent="0.25">
      <c r="A128" s="361" t="s">
        <v>6</v>
      </c>
      <c r="B128" s="362"/>
      <c r="C128" s="40">
        <f>SUM(C116:C127)</f>
        <v>6070</v>
      </c>
      <c r="D128" s="40">
        <f>SUM(D116:D127)</f>
        <v>246945</v>
      </c>
      <c r="E128" s="41">
        <f>SUM(E116:E127)</f>
        <v>517.36</v>
      </c>
      <c r="F128" s="111">
        <f t="shared" si="33"/>
        <v>8.5232289950576607</v>
      </c>
      <c r="G128" s="40">
        <f>+D128/E128</f>
        <v>477.31753517859903</v>
      </c>
      <c r="H128" s="40">
        <f>+D128/C128</f>
        <v>40.682866556836906</v>
      </c>
    </row>
    <row r="129" spans="1:11" ht="15" thickTop="1" x14ac:dyDescent="0.2"/>
    <row r="130" spans="1:11" ht="15" thickBot="1" x14ac:dyDescent="0.25"/>
    <row r="131" spans="1:11" ht="31.5" customHeight="1" thickTop="1" x14ac:dyDescent="0.2">
      <c r="A131" s="364" t="s">
        <v>195</v>
      </c>
      <c r="B131" s="364" t="s">
        <v>407</v>
      </c>
      <c r="C131" s="364" t="s">
        <v>240</v>
      </c>
      <c r="D131" s="364" t="s">
        <v>335</v>
      </c>
      <c r="E131" s="364" t="s">
        <v>322</v>
      </c>
      <c r="F131" s="364" t="s">
        <v>199</v>
      </c>
      <c r="G131" s="364" t="s">
        <v>200</v>
      </c>
      <c r="H131" s="364" t="s">
        <v>323</v>
      </c>
    </row>
    <row r="132" spans="1:11" ht="39" customHeight="1" thickBot="1" x14ac:dyDescent="0.25">
      <c r="A132" s="365"/>
      <c r="B132" s="365"/>
      <c r="C132" s="365"/>
      <c r="D132" s="365"/>
      <c r="E132" s="365"/>
      <c r="F132" s="365"/>
      <c r="G132" s="365"/>
      <c r="H132" s="365"/>
    </row>
    <row r="133" spans="1:11" ht="36" customHeight="1" thickTop="1" x14ac:dyDescent="0.2">
      <c r="A133" s="368" t="s">
        <v>83</v>
      </c>
      <c r="B133" s="123" t="s">
        <v>233</v>
      </c>
      <c r="C133" s="124">
        <f>+C96+C64+C48+C32+C112+C128</f>
        <v>52508</v>
      </c>
      <c r="D133" s="218">
        <f>+D96+D64+D48+D32+D112+D128</f>
        <v>2019700</v>
      </c>
      <c r="E133" s="218">
        <f>+E96+E64+E48+E32+E112+E128</f>
        <v>4372.32</v>
      </c>
      <c r="F133" s="125">
        <f>+E133/(C133/100)</f>
        <v>8.3269597013788363</v>
      </c>
      <c r="G133" s="126">
        <f>+D133/E133</f>
        <v>461.92867859626011</v>
      </c>
      <c r="H133" s="126">
        <f>+D133/C133</f>
        <v>38.464614915822352</v>
      </c>
      <c r="J133" s="25">
        <f>+D133/1.27</f>
        <v>1590314.9606299212</v>
      </c>
      <c r="K133" s="25">
        <f>+G133/1.27</f>
        <v>363.72336897343314</v>
      </c>
    </row>
    <row r="134" spans="1:11" ht="32.25" customHeight="1" thickBot="1" x14ac:dyDescent="0.25">
      <c r="A134" s="395"/>
      <c r="B134" s="94" t="s">
        <v>231</v>
      </c>
      <c r="C134" s="86">
        <f>+C80+C16</f>
        <v>28191</v>
      </c>
      <c r="D134" s="207">
        <f>+D80+D16</f>
        <v>875273</v>
      </c>
      <c r="E134" s="207">
        <f>+E80+E16</f>
        <v>1847.4499999999998</v>
      </c>
      <c r="F134" s="127">
        <f>+E134/(C134/100)</f>
        <v>6.5533326238870551</v>
      </c>
      <c r="G134" s="128">
        <f>+D134/E134</f>
        <v>473.7735797991827</v>
      </c>
      <c r="H134" s="128">
        <f>+D134/C134</f>
        <v>31.047958568337414</v>
      </c>
      <c r="J134" s="25">
        <f>+D134/1.27</f>
        <v>689191.33858267718</v>
      </c>
      <c r="K134" s="25">
        <f>+G134/1.27</f>
        <v>373.05006283400212</v>
      </c>
    </row>
    <row r="135" spans="1:11" ht="26.25" customHeight="1" thickTop="1" thickBot="1" x14ac:dyDescent="0.25">
      <c r="A135" s="361" t="s">
        <v>6</v>
      </c>
      <c r="B135" s="362"/>
      <c r="C135" s="40">
        <f>SUM(C133:C134)</f>
        <v>80699</v>
      </c>
      <c r="D135" s="40">
        <f>SUM(D133:D134)</f>
        <v>2894973</v>
      </c>
      <c r="E135" s="40">
        <f>SUM(E133:E134)</f>
        <v>6219.7699999999995</v>
      </c>
      <c r="F135" s="111">
        <f>+E135/(C135/100)</f>
        <v>7.7073693602151199</v>
      </c>
      <c r="G135" s="40">
        <f>+D135/E135</f>
        <v>465.44695382626691</v>
      </c>
      <c r="H135" s="40">
        <f>+D135/C135</f>
        <v>35.873715907260312</v>
      </c>
    </row>
    <row r="136" spans="1:11" ht="15" thickTop="1" x14ac:dyDescent="0.2"/>
    <row r="137" spans="1:11" x14ac:dyDescent="0.2">
      <c r="A137" s="25" t="s">
        <v>334</v>
      </c>
    </row>
    <row r="138" spans="1:11" ht="15" thickBot="1" x14ac:dyDescent="0.25"/>
    <row r="139" spans="1:11" ht="40.5" customHeight="1" thickTop="1" thickBot="1" x14ac:dyDescent="0.25">
      <c r="A139" s="376" t="s">
        <v>195</v>
      </c>
      <c r="B139" s="376" t="s">
        <v>407</v>
      </c>
      <c r="C139" s="376" t="s">
        <v>197</v>
      </c>
      <c r="D139" s="376" t="s">
        <v>382</v>
      </c>
      <c r="E139" s="221" t="s">
        <v>18</v>
      </c>
      <c r="F139" s="376" t="s">
        <v>199</v>
      </c>
      <c r="G139" s="376" t="s">
        <v>200</v>
      </c>
      <c r="H139" s="376" t="s">
        <v>323</v>
      </c>
    </row>
    <row r="140" spans="1:11" ht="30" customHeight="1" thickTop="1" thickBot="1" x14ac:dyDescent="0.25">
      <c r="A140" s="377"/>
      <c r="B140" s="377"/>
      <c r="C140" s="377"/>
      <c r="D140" s="377"/>
      <c r="E140" s="226" t="s">
        <v>381</v>
      </c>
      <c r="F140" s="377"/>
      <c r="G140" s="377"/>
      <c r="H140" s="377"/>
    </row>
    <row r="141" spans="1:11" ht="15" thickTop="1" x14ac:dyDescent="0.2">
      <c r="A141" s="368" t="s">
        <v>6</v>
      </c>
      <c r="B141" s="103" t="s">
        <v>201</v>
      </c>
      <c r="C141" s="232">
        <f>+C84+C68+C52+C36+C20+C4+C100+C116</f>
        <v>4673</v>
      </c>
      <c r="D141" s="230">
        <f>(D84+D68+D52+D36+D20+D4+D100+D116)/1.27</f>
        <v>95592.125984251965</v>
      </c>
      <c r="E141" s="229">
        <f t="shared" ref="E141" si="36">+E84+E68+E52+E36+E20+E4+E100+E116</f>
        <v>284.79000000000002</v>
      </c>
      <c r="F141" s="108">
        <f>+E141/(C141/100)</f>
        <v>6.0943719238176772</v>
      </c>
      <c r="G141" s="229">
        <f>+D141/E141</f>
        <v>335.65829553092442</v>
      </c>
      <c r="H141" s="102">
        <f>+D141/C141</f>
        <v>20.456264922801619</v>
      </c>
    </row>
    <row r="142" spans="1:11" x14ac:dyDescent="0.2">
      <c r="A142" s="395"/>
      <c r="B142" s="105" t="s">
        <v>202</v>
      </c>
      <c r="C142" s="233">
        <f>+C85+C69+C53+C37+C21+C5+C101+C117</f>
        <v>3616</v>
      </c>
      <c r="D142" s="231">
        <f t="shared" ref="D142:D152" si="37">(D85+D69+D53+D37+D21+D5+D101+D117)/1.27</f>
        <v>91647.244094488182</v>
      </c>
      <c r="E142" s="224">
        <f t="shared" ref="E142" si="38">+E85+E69+E53+E37+E21+E5+E101+E117</f>
        <v>259.89999999999998</v>
      </c>
      <c r="F142" s="109">
        <f t="shared" ref="F142:F152" si="39">+E142/(C142/100)</f>
        <v>7.1875</v>
      </c>
      <c r="G142" s="224">
        <f t="shared" ref="G142:G152" si="40">+D142/E142</f>
        <v>352.62502537317505</v>
      </c>
      <c r="H142" s="35">
        <f t="shared" ref="H142:H152" si="41">+D142/C142</f>
        <v>25.344923698696952</v>
      </c>
    </row>
    <row r="143" spans="1:11" x14ac:dyDescent="0.2">
      <c r="A143" s="395"/>
      <c r="B143" s="105" t="s">
        <v>203</v>
      </c>
      <c r="C143" s="233">
        <f t="shared" ref="C143:E152" si="42">+C86+C70+C54+C38+C22+C6+C102+C118</f>
        <v>6372</v>
      </c>
      <c r="D143" s="231">
        <f t="shared" si="37"/>
        <v>171326.77165354331</v>
      </c>
      <c r="E143" s="224">
        <f t="shared" si="42"/>
        <v>498.04999999999995</v>
      </c>
      <c r="F143" s="109">
        <f t="shared" si="39"/>
        <v>7.8162272441933451</v>
      </c>
      <c r="G143" s="224">
        <f t="shared" si="40"/>
        <v>343.99512429182477</v>
      </c>
      <c r="H143" s="35">
        <f t="shared" si="41"/>
        <v>26.887440623594369</v>
      </c>
    </row>
    <row r="144" spans="1:11" x14ac:dyDescent="0.2">
      <c r="A144" s="395"/>
      <c r="B144" s="105" t="s">
        <v>204</v>
      </c>
      <c r="C144" s="233">
        <f t="shared" si="42"/>
        <v>5344</v>
      </c>
      <c r="D144" s="231">
        <f t="shared" si="37"/>
        <v>143236.22047244094</v>
      </c>
      <c r="E144" s="224">
        <f t="shared" si="42"/>
        <v>425.61</v>
      </c>
      <c r="F144" s="109">
        <f t="shared" si="39"/>
        <v>7.9642589820359291</v>
      </c>
      <c r="G144" s="224">
        <f t="shared" si="40"/>
        <v>336.54336240323522</v>
      </c>
      <c r="H144" s="35">
        <f t="shared" si="41"/>
        <v>26.803184968645386</v>
      </c>
    </row>
    <row r="145" spans="1:8" x14ac:dyDescent="0.2">
      <c r="A145" s="395"/>
      <c r="B145" s="105" t="s">
        <v>205</v>
      </c>
      <c r="C145" s="233">
        <f t="shared" si="42"/>
        <v>5680</v>
      </c>
      <c r="D145" s="231">
        <f t="shared" si="37"/>
        <v>105688.97637795276</v>
      </c>
      <c r="E145" s="224">
        <f t="shared" si="42"/>
        <v>308.39999999999998</v>
      </c>
      <c r="F145" s="109">
        <f t="shared" si="39"/>
        <v>5.429577464788732</v>
      </c>
      <c r="G145" s="224">
        <f t="shared" si="40"/>
        <v>342.70096101800505</v>
      </c>
      <c r="H145" s="35">
        <f t="shared" si="41"/>
        <v>18.607214151048019</v>
      </c>
    </row>
    <row r="146" spans="1:8" x14ac:dyDescent="0.2">
      <c r="A146" s="395"/>
      <c r="B146" s="105" t="s">
        <v>206</v>
      </c>
      <c r="C146" s="233">
        <f t="shared" si="42"/>
        <v>7326</v>
      </c>
      <c r="D146" s="231">
        <f t="shared" si="37"/>
        <v>208556.69291338584</v>
      </c>
      <c r="E146" s="224">
        <f t="shared" si="42"/>
        <v>602.12</v>
      </c>
      <c r="F146" s="109">
        <f t="shared" si="39"/>
        <v>8.2189462189462184</v>
      </c>
      <c r="G146" s="224">
        <f t="shared" si="40"/>
        <v>346.37064524245307</v>
      </c>
      <c r="H146" s="35">
        <f t="shared" si="41"/>
        <v>28.468017050694218</v>
      </c>
    </row>
    <row r="147" spans="1:8" x14ac:dyDescent="0.2">
      <c r="A147" s="395"/>
      <c r="B147" s="105" t="s">
        <v>207</v>
      </c>
      <c r="C147" s="233">
        <f t="shared" si="42"/>
        <v>5895</v>
      </c>
      <c r="D147" s="231">
        <f t="shared" si="37"/>
        <v>209141.73228346457</v>
      </c>
      <c r="E147" s="224">
        <f t="shared" si="42"/>
        <v>565.98</v>
      </c>
      <c r="F147" s="109">
        <f t="shared" si="39"/>
        <v>9.6010178117048337</v>
      </c>
      <c r="G147" s="224">
        <f t="shared" si="40"/>
        <v>369.52141821877905</v>
      </c>
      <c r="H147" s="35">
        <f t="shared" si="41"/>
        <v>35.477817181249293</v>
      </c>
    </row>
    <row r="148" spans="1:8" x14ac:dyDescent="0.2">
      <c r="A148" s="395"/>
      <c r="B148" s="105" t="s">
        <v>208</v>
      </c>
      <c r="C148" s="233">
        <f t="shared" si="42"/>
        <v>4736</v>
      </c>
      <c r="D148" s="231">
        <f t="shared" si="37"/>
        <v>133639.37007874015</v>
      </c>
      <c r="E148" s="224">
        <f t="shared" si="42"/>
        <v>377.62</v>
      </c>
      <c r="F148" s="109">
        <f t="shared" si="39"/>
        <v>7.9733952702702702</v>
      </c>
      <c r="G148" s="224">
        <f t="shared" si="40"/>
        <v>353.89907864715889</v>
      </c>
      <c r="H148" s="35">
        <f t="shared" si="41"/>
        <v>28.217772398382632</v>
      </c>
    </row>
    <row r="149" spans="1:8" x14ac:dyDescent="0.2">
      <c r="A149" s="395"/>
      <c r="B149" s="107" t="s">
        <v>209</v>
      </c>
      <c r="C149" s="233">
        <f t="shared" si="42"/>
        <v>8802</v>
      </c>
      <c r="D149" s="231">
        <f t="shared" si="37"/>
        <v>249365.35433070865</v>
      </c>
      <c r="E149" s="234">
        <f t="shared" si="42"/>
        <v>670</v>
      </c>
      <c r="F149" s="110">
        <f t="shared" si="39"/>
        <v>7.6119063849125199</v>
      </c>
      <c r="G149" s="234">
        <f t="shared" si="40"/>
        <v>372.18709601598306</v>
      </c>
      <c r="H149" s="104">
        <f t="shared" si="41"/>
        <v>28.330533325461104</v>
      </c>
    </row>
    <row r="150" spans="1:8" x14ac:dyDescent="0.2">
      <c r="A150" s="395"/>
      <c r="B150" s="105" t="s">
        <v>210</v>
      </c>
      <c r="C150" s="233">
        <f t="shared" si="42"/>
        <v>11850</v>
      </c>
      <c r="D150" s="231">
        <f t="shared" si="37"/>
        <v>343055.90551181103</v>
      </c>
      <c r="E150" s="224">
        <f t="shared" si="42"/>
        <v>865.56</v>
      </c>
      <c r="F150" s="109">
        <f t="shared" si="39"/>
        <v>7.3043037974683536</v>
      </c>
      <c r="G150" s="224">
        <f t="shared" si="40"/>
        <v>396.33983260757321</v>
      </c>
      <c r="H150" s="35">
        <f t="shared" si="41"/>
        <v>28.949865444034685</v>
      </c>
    </row>
    <row r="151" spans="1:8" x14ac:dyDescent="0.2">
      <c r="A151" s="395"/>
      <c r="B151" s="105" t="s">
        <v>211</v>
      </c>
      <c r="C151" s="233">
        <f t="shared" si="42"/>
        <v>9212</v>
      </c>
      <c r="D151" s="231">
        <f t="shared" si="37"/>
        <v>290217.32283464569</v>
      </c>
      <c r="E151" s="224">
        <f t="shared" si="42"/>
        <v>734.42000000000007</v>
      </c>
      <c r="F151" s="109">
        <f t="shared" si="39"/>
        <v>7.9724272687798532</v>
      </c>
      <c r="G151" s="224">
        <f t="shared" si="40"/>
        <v>395.16533160132576</v>
      </c>
      <c r="H151" s="35">
        <f t="shared" si="41"/>
        <v>31.504268653348426</v>
      </c>
    </row>
    <row r="152" spans="1:8" ht="15" thickBot="1" x14ac:dyDescent="0.25">
      <c r="A152" s="396"/>
      <c r="B152" s="106" t="s">
        <v>212</v>
      </c>
      <c r="C152" s="233">
        <f t="shared" si="42"/>
        <v>7193</v>
      </c>
      <c r="D152" s="231">
        <f t="shared" si="37"/>
        <v>238038.58267716534</v>
      </c>
      <c r="E152" s="234">
        <f t="shared" si="42"/>
        <v>627.31999999999994</v>
      </c>
      <c r="F152" s="110">
        <f t="shared" si="39"/>
        <v>8.7212567774224929</v>
      </c>
      <c r="G152" s="234">
        <f t="shared" si="40"/>
        <v>379.45320199764933</v>
      </c>
      <c r="H152" s="104">
        <f t="shared" si="41"/>
        <v>33.093088096366657</v>
      </c>
    </row>
    <row r="153" spans="1:8" ht="16.5" thickTop="1" thickBot="1" x14ac:dyDescent="0.25">
      <c r="A153" s="361" t="s">
        <v>6</v>
      </c>
      <c r="B153" s="362"/>
      <c r="C153" s="40">
        <f>SUM(C141:C152)</f>
        <v>80699</v>
      </c>
      <c r="D153" s="40">
        <f>SUM(D141:D152)</f>
        <v>2279506.2992125982</v>
      </c>
      <c r="E153" s="40">
        <f>SUM(E141:E152)</f>
        <v>6219.7699999999995</v>
      </c>
      <c r="F153" s="111">
        <f>+E153/(C153/100)</f>
        <v>7.7073693602151199</v>
      </c>
      <c r="G153" s="40">
        <f>+D153/E153</f>
        <v>366.49366443013139</v>
      </c>
      <c r="H153" s="40">
        <f>+D153/C153</f>
        <v>28.247020399417568</v>
      </c>
    </row>
    <row r="154" spans="1:8" ht="15" thickTop="1" x14ac:dyDescent="0.2"/>
    <row r="155" spans="1:8" x14ac:dyDescent="0.2">
      <c r="C155" s="25" t="s">
        <v>387</v>
      </c>
      <c r="D155" s="25">
        <f>+D153*1.27</f>
        <v>2894973</v>
      </c>
    </row>
  </sheetData>
  <mergeCells count="93">
    <mergeCell ref="G98:G99"/>
    <mergeCell ref="H98:H99"/>
    <mergeCell ref="A100:A111"/>
    <mergeCell ref="A112:B112"/>
    <mergeCell ref="A98:A99"/>
    <mergeCell ref="B98:B99"/>
    <mergeCell ref="C98:C99"/>
    <mergeCell ref="D98:D99"/>
    <mergeCell ref="F98:F99"/>
    <mergeCell ref="G2:G3"/>
    <mergeCell ref="H2:H3"/>
    <mergeCell ref="A4:A15"/>
    <mergeCell ref="A1:G1"/>
    <mergeCell ref="A17:F17"/>
    <mergeCell ref="A16:B16"/>
    <mergeCell ref="F2:F3"/>
    <mergeCell ref="A2:A3"/>
    <mergeCell ref="B2:B3"/>
    <mergeCell ref="C2:C3"/>
    <mergeCell ref="D2:D3"/>
    <mergeCell ref="G18:G19"/>
    <mergeCell ref="H18:H19"/>
    <mergeCell ref="A20:A31"/>
    <mergeCell ref="A32:B32"/>
    <mergeCell ref="A18:A19"/>
    <mergeCell ref="B18:B19"/>
    <mergeCell ref="C18:C19"/>
    <mergeCell ref="D18:D19"/>
    <mergeCell ref="F18:F19"/>
    <mergeCell ref="A36:A47"/>
    <mergeCell ref="A48:B48"/>
    <mergeCell ref="A50:A51"/>
    <mergeCell ref="B50:B51"/>
    <mergeCell ref="C50:C51"/>
    <mergeCell ref="D50:D51"/>
    <mergeCell ref="F50:F51"/>
    <mergeCell ref="G50:G51"/>
    <mergeCell ref="H50:H51"/>
    <mergeCell ref="A52:A63"/>
    <mergeCell ref="A64:B64"/>
    <mergeCell ref="A66:A67"/>
    <mergeCell ref="B66:B67"/>
    <mergeCell ref="C66:C67"/>
    <mergeCell ref="D66:D67"/>
    <mergeCell ref="F66:F67"/>
    <mergeCell ref="G66:G67"/>
    <mergeCell ref="H66:H67"/>
    <mergeCell ref="A68:A79"/>
    <mergeCell ref="A80:B80"/>
    <mergeCell ref="G82:G83"/>
    <mergeCell ref="H82:H83"/>
    <mergeCell ref="A84:A95"/>
    <mergeCell ref="A96:B96"/>
    <mergeCell ref="A82:A83"/>
    <mergeCell ref="B82:B83"/>
    <mergeCell ref="C82:C83"/>
    <mergeCell ref="D82:D83"/>
    <mergeCell ref="F82:F83"/>
    <mergeCell ref="D34:D35"/>
    <mergeCell ref="F34:F35"/>
    <mergeCell ref="G34:G35"/>
    <mergeCell ref="H34:H35"/>
    <mergeCell ref="A34:A35"/>
    <mergeCell ref="B34:B35"/>
    <mergeCell ref="C34:C35"/>
    <mergeCell ref="G131:G132"/>
    <mergeCell ref="H131:H132"/>
    <mergeCell ref="A133:A134"/>
    <mergeCell ref="A135:B135"/>
    <mergeCell ref="E131:E132"/>
    <mergeCell ref="A131:A132"/>
    <mergeCell ref="B131:B132"/>
    <mergeCell ref="C131:C132"/>
    <mergeCell ref="D131:D132"/>
    <mergeCell ref="F131:F132"/>
    <mergeCell ref="G139:G140"/>
    <mergeCell ref="H139:H140"/>
    <mergeCell ref="A141:A152"/>
    <mergeCell ref="A153:B153"/>
    <mergeCell ref="A139:A140"/>
    <mergeCell ref="B139:B140"/>
    <mergeCell ref="C139:C140"/>
    <mergeCell ref="D139:D140"/>
    <mergeCell ref="F139:F140"/>
    <mergeCell ref="G114:G115"/>
    <mergeCell ref="H114:H115"/>
    <mergeCell ref="A116:A127"/>
    <mergeCell ref="A128:B128"/>
    <mergeCell ref="A114:A115"/>
    <mergeCell ref="B114:B115"/>
    <mergeCell ref="C114:C115"/>
    <mergeCell ref="D114:D115"/>
    <mergeCell ref="F114:F115"/>
  </mergeCells>
  <printOptions horizontalCentered="1"/>
  <pageMargins left="0.43307086614173229" right="0.43307086614173229" top="0.35433070866141736" bottom="0.35433070866141736" header="0.31496062992125984" footer="0.11811023622047245"/>
  <pageSetup paperSize="9" scale="77" fitToHeight="3" orientation="portrait" r:id="rId1"/>
  <headerFooter>
    <oddFooter>&amp;LGombkötő Ervin János
energetikai szakreferens&amp;C&amp;P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17" sqref="K17"/>
    </sheetView>
  </sheetViews>
  <sheetFormatPr defaultRowHeight="15" x14ac:dyDescent="0.25"/>
  <cols>
    <col min="1" max="1" width="18.7109375" customWidth="1"/>
    <col min="2" max="2" width="20.140625" customWidth="1"/>
    <col min="3" max="3" width="14.28515625" customWidth="1"/>
    <col min="4" max="4" width="15.5703125" customWidth="1"/>
    <col min="5" max="5" width="14.85546875" customWidth="1"/>
    <col min="6" max="6" width="14.5703125" customWidth="1"/>
    <col min="7" max="7" width="13.7109375" customWidth="1"/>
  </cols>
  <sheetData>
    <row r="1" spans="1:7" ht="26.25" customHeight="1" thickBot="1" x14ac:dyDescent="0.3">
      <c r="A1" s="356" t="s">
        <v>399</v>
      </c>
      <c r="B1" s="356"/>
      <c r="C1" s="356"/>
      <c r="D1" s="356"/>
      <c r="E1" s="356"/>
      <c r="F1" s="356"/>
      <c r="G1" s="200" t="s">
        <v>222</v>
      </c>
    </row>
    <row r="2" spans="1:7" ht="31.5" customHeight="1" thickTop="1" thickBot="1" x14ac:dyDescent="0.3">
      <c r="A2" s="384" t="s">
        <v>228</v>
      </c>
      <c r="B2" s="398"/>
      <c r="C2" s="398"/>
      <c r="D2" s="398"/>
      <c r="E2" s="398"/>
      <c r="F2" s="366"/>
      <c r="G2" s="364" t="s">
        <v>227</v>
      </c>
    </row>
    <row r="3" spans="1:7" ht="40.5" customHeight="1" thickTop="1" thickBot="1" x14ac:dyDescent="0.3">
      <c r="A3" s="117" t="s">
        <v>223</v>
      </c>
      <c r="B3" s="117" t="s">
        <v>224</v>
      </c>
      <c r="C3" s="117" t="s">
        <v>238</v>
      </c>
      <c r="D3" s="117" t="s">
        <v>225</v>
      </c>
      <c r="E3" s="117" t="s">
        <v>229</v>
      </c>
      <c r="F3" s="117" t="s">
        <v>226</v>
      </c>
      <c r="G3" s="365"/>
    </row>
    <row r="4" spans="1:7" ht="15.75" thickTop="1" x14ac:dyDescent="0.25">
      <c r="A4" s="120" t="s">
        <v>213</v>
      </c>
      <c r="B4" s="103" t="s">
        <v>230</v>
      </c>
      <c r="C4" s="114">
        <v>998</v>
      </c>
      <c r="D4" s="114">
        <v>48</v>
      </c>
      <c r="E4" s="112" t="s">
        <v>231</v>
      </c>
      <c r="F4" s="121">
        <v>2004</v>
      </c>
      <c r="G4" s="102">
        <v>5</v>
      </c>
    </row>
    <row r="5" spans="1:7" x14ac:dyDescent="0.25">
      <c r="A5" s="94" t="s">
        <v>215</v>
      </c>
      <c r="B5" s="105" t="s">
        <v>232</v>
      </c>
      <c r="C5" s="115">
        <v>1896</v>
      </c>
      <c r="D5" s="115">
        <v>85</v>
      </c>
      <c r="E5" s="36" t="s">
        <v>233</v>
      </c>
      <c r="F5" s="122">
        <v>2008</v>
      </c>
      <c r="G5" s="35">
        <v>5</v>
      </c>
    </row>
    <row r="6" spans="1:7" x14ac:dyDescent="0.25">
      <c r="A6" s="94" t="s">
        <v>217</v>
      </c>
      <c r="B6" s="105" t="s">
        <v>234</v>
      </c>
      <c r="C6" s="115">
        <v>2402</v>
      </c>
      <c r="D6" s="115">
        <v>85</v>
      </c>
      <c r="E6" s="36" t="s">
        <v>233</v>
      </c>
      <c r="F6" s="122">
        <v>2008</v>
      </c>
      <c r="G6" s="35">
        <v>3</v>
      </c>
    </row>
    <row r="7" spans="1:7" x14ac:dyDescent="0.25">
      <c r="A7" s="94" t="s">
        <v>218</v>
      </c>
      <c r="B7" s="105" t="s">
        <v>235</v>
      </c>
      <c r="C7" s="115">
        <v>2198</v>
      </c>
      <c r="D7" s="115">
        <v>81</v>
      </c>
      <c r="E7" s="36" t="s">
        <v>233</v>
      </c>
      <c r="F7" s="122">
        <v>2008</v>
      </c>
      <c r="G7" s="35">
        <v>9</v>
      </c>
    </row>
    <row r="8" spans="1:7" x14ac:dyDescent="0.25">
      <c r="A8" s="94" t="s">
        <v>219</v>
      </c>
      <c r="B8" s="105" t="s">
        <v>236</v>
      </c>
      <c r="C8" s="115">
        <v>1364</v>
      </c>
      <c r="D8" s="115">
        <v>66</v>
      </c>
      <c r="E8" s="36" t="s">
        <v>231</v>
      </c>
      <c r="F8" s="122">
        <v>2009</v>
      </c>
      <c r="G8" s="35">
        <v>5</v>
      </c>
    </row>
    <row r="9" spans="1:7" x14ac:dyDescent="0.25">
      <c r="A9" s="94" t="s">
        <v>220</v>
      </c>
      <c r="B9" s="105" t="s">
        <v>235</v>
      </c>
      <c r="C9" s="115">
        <v>1998</v>
      </c>
      <c r="D9" s="115">
        <v>80</v>
      </c>
      <c r="E9" s="36" t="s">
        <v>233</v>
      </c>
      <c r="F9" s="122">
        <v>2006</v>
      </c>
      <c r="G9" s="35">
        <v>8</v>
      </c>
    </row>
    <row r="10" spans="1:7" x14ac:dyDescent="0.25">
      <c r="A10" s="94" t="s">
        <v>221</v>
      </c>
      <c r="B10" s="105" t="s">
        <v>237</v>
      </c>
      <c r="C10" s="115">
        <v>1870</v>
      </c>
      <c r="D10" s="115">
        <v>74</v>
      </c>
      <c r="E10" s="36" t="s">
        <v>233</v>
      </c>
      <c r="F10" s="122">
        <v>2003</v>
      </c>
      <c r="G10" s="35">
        <v>9</v>
      </c>
    </row>
    <row r="11" spans="1:7" ht="15.75" thickBot="1" x14ac:dyDescent="0.3">
      <c r="A11" s="94" t="s">
        <v>388</v>
      </c>
      <c r="B11" s="105" t="s">
        <v>398</v>
      </c>
      <c r="C11" s="115">
        <v>1598</v>
      </c>
      <c r="D11" s="115">
        <v>89</v>
      </c>
      <c r="E11" s="36" t="s">
        <v>233</v>
      </c>
      <c r="F11" s="122">
        <v>2018</v>
      </c>
      <c r="G11" s="35">
        <v>9</v>
      </c>
    </row>
    <row r="12" spans="1:7" ht="16.5" thickTop="1" thickBot="1" x14ac:dyDescent="0.3">
      <c r="A12" s="361" t="s">
        <v>6</v>
      </c>
      <c r="B12" s="362"/>
      <c r="C12" s="40">
        <f>SUM(C4:C11)</f>
        <v>14324</v>
      </c>
      <c r="D12" s="40">
        <f>SUM(D4:D11)</f>
        <v>608</v>
      </c>
      <c r="E12" s="41" t="s">
        <v>28</v>
      </c>
      <c r="F12" s="111" t="s">
        <v>28</v>
      </c>
      <c r="G12" s="40">
        <f>SUM(G4:G11)</f>
        <v>53</v>
      </c>
    </row>
    <row r="13" spans="1:7" ht="15.75" thickTop="1" x14ac:dyDescent="0.25"/>
  </sheetData>
  <mergeCells count="4">
    <mergeCell ref="A12:B12"/>
    <mergeCell ref="G2:G3"/>
    <mergeCell ref="A2:F2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0"/>
  <sheetViews>
    <sheetView tabSelected="1" topLeftCell="A10" zoomScale="120" zoomScaleNormal="120" workbookViewId="0">
      <selection activeCell="L20" sqref="L20"/>
    </sheetView>
  </sheetViews>
  <sheetFormatPr defaultRowHeight="15" x14ac:dyDescent="0.25"/>
  <cols>
    <col min="1" max="1" width="32.7109375" style="1" customWidth="1"/>
    <col min="2" max="2" width="16" style="1" customWidth="1"/>
    <col min="3" max="3" width="12.28515625" style="1" customWidth="1"/>
    <col min="4" max="4" width="15.85546875" style="1" customWidth="1"/>
    <col min="5" max="5" width="12.7109375" style="1" customWidth="1"/>
    <col min="6" max="6" width="15.140625" style="1" customWidth="1"/>
    <col min="7" max="7" width="14.42578125" style="1" customWidth="1"/>
    <col min="8" max="8" width="15.140625" style="1" customWidth="1"/>
    <col min="9" max="9" width="12.42578125" style="1" customWidth="1"/>
    <col min="10" max="10" width="9.140625" style="1"/>
    <col min="11" max="11" width="12.42578125" style="1" bestFit="1" customWidth="1"/>
    <col min="12" max="12" width="12.42578125" style="1" customWidth="1"/>
    <col min="13" max="13" width="10.42578125" style="1" bestFit="1" customWidth="1"/>
    <col min="14" max="14" width="12.28515625" style="1" customWidth="1"/>
    <col min="15" max="15" width="12.5703125" style="1" customWidth="1"/>
    <col min="16" max="16384" width="9.140625" style="1"/>
  </cols>
  <sheetData>
    <row r="1" spans="1:15" ht="27" customHeight="1" thickTop="1" thickBot="1" x14ac:dyDescent="0.3">
      <c r="A1" s="401" t="s">
        <v>44</v>
      </c>
      <c r="B1" s="402"/>
      <c r="C1" s="402"/>
      <c r="D1" s="402"/>
      <c r="E1" s="402"/>
      <c r="F1" s="402"/>
      <c r="G1" s="402"/>
      <c r="H1" s="402"/>
      <c r="I1" s="403"/>
    </row>
    <row r="2" spans="1:15" ht="9.75" customHeight="1" thickTop="1" thickBot="1" x14ac:dyDescent="0.3">
      <c r="A2" s="24"/>
      <c r="B2" s="24"/>
      <c r="C2" s="24"/>
      <c r="D2" s="24"/>
      <c r="E2" s="24"/>
      <c r="F2" s="24"/>
      <c r="G2" s="24"/>
      <c r="H2" s="24"/>
      <c r="I2" s="24"/>
    </row>
    <row r="3" spans="1:15" ht="21" customHeight="1" thickTop="1" thickBot="1" x14ac:dyDescent="0.3">
      <c r="A3" s="399" t="s">
        <v>38</v>
      </c>
      <c r="B3" s="400" t="s">
        <v>34</v>
      </c>
      <c r="C3" s="400"/>
      <c r="D3" s="400"/>
      <c r="E3" s="400"/>
      <c r="F3" s="400"/>
      <c r="G3" s="400"/>
      <c r="H3" s="400"/>
      <c r="I3" s="400"/>
    </row>
    <row r="4" spans="1:15" ht="16.5" thickTop="1" thickBot="1" x14ac:dyDescent="0.3">
      <c r="A4" s="399"/>
      <c r="B4" s="400" t="s">
        <v>35</v>
      </c>
      <c r="C4" s="400"/>
      <c r="D4" s="400" t="s">
        <v>37</v>
      </c>
      <c r="E4" s="400"/>
      <c r="F4" s="400" t="s">
        <v>36</v>
      </c>
      <c r="G4" s="400"/>
      <c r="H4" s="400" t="s">
        <v>6</v>
      </c>
      <c r="I4" s="400"/>
    </row>
    <row r="5" spans="1:15" ht="30" thickTop="1" thickBot="1" x14ac:dyDescent="0.3">
      <c r="A5" s="2" t="s">
        <v>55</v>
      </c>
      <c r="B5" s="3" t="s">
        <v>39</v>
      </c>
      <c r="C5" s="3" t="s">
        <v>43</v>
      </c>
      <c r="D5" s="3" t="s">
        <v>39</v>
      </c>
      <c r="E5" s="3" t="s">
        <v>43</v>
      </c>
      <c r="F5" s="3" t="s">
        <v>39</v>
      </c>
      <c r="G5" s="3" t="s">
        <v>43</v>
      </c>
      <c r="H5" s="3" t="s">
        <v>39</v>
      </c>
      <c r="I5" s="3" t="s">
        <v>43</v>
      </c>
    </row>
    <row r="6" spans="1:15" ht="15.75" thickTop="1" x14ac:dyDescent="0.25">
      <c r="A6" s="4" t="s">
        <v>40</v>
      </c>
      <c r="B6" s="54">
        <f>+'Földgáz SZC Összesen'!F8</f>
        <v>14870162.470989287</v>
      </c>
      <c r="C6" s="54">
        <f>+B6/3.25/1000</f>
        <v>4575.4346064582423</v>
      </c>
      <c r="D6" s="5">
        <v>0</v>
      </c>
      <c r="E6" s="5">
        <v>0</v>
      </c>
      <c r="F6" s="5">
        <v>0</v>
      </c>
      <c r="G6" s="54">
        <v>0</v>
      </c>
      <c r="H6" s="54">
        <f>+B6+D6+F6</f>
        <v>14870162.470989287</v>
      </c>
      <c r="I6" s="54">
        <f>+G6+E6+C6</f>
        <v>4575.4346064582423</v>
      </c>
    </row>
    <row r="7" spans="1:15" x14ac:dyDescent="0.25">
      <c r="A7" s="6" t="s">
        <v>41</v>
      </c>
      <c r="B7" s="55">
        <f>+'Villamos Energia SZC Összesen'!G6</f>
        <v>486727</v>
      </c>
      <c r="C7" s="55">
        <f>+B7/1000</f>
        <v>486.72699999999998</v>
      </c>
      <c r="D7" s="7">
        <v>0</v>
      </c>
      <c r="E7" s="7">
        <v>0</v>
      </c>
      <c r="F7" s="7">
        <v>0</v>
      </c>
      <c r="G7" s="55">
        <v>0</v>
      </c>
      <c r="H7" s="55">
        <f>+F7+D7+B7</f>
        <v>486727</v>
      </c>
      <c r="I7" s="55">
        <f>+G7+E7+C7</f>
        <v>486.72699999999998</v>
      </c>
    </row>
    <row r="8" spans="1:15" x14ac:dyDescent="0.25">
      <c r="A8" s="6" t="s">
        <v>309</v>
      </c>
      <c r="B8" s="55">
        <f>+'Hő Energia SZC Összesen'!J42*1000</f>
        <v>1419199.9999999998</v>
      </c>
      <c r="C8" s="55">
        <f>+B8*0.278/1000</f>
        <v>394.5376</v>
      </c>
      <c r="D8" s="7">
        <v>0</v>
      </c>
      <c r="E8" s="7">
        <v>0</v>
      </c>
      <c r="F8" s="7">
        <v>0</v>
      </c>
      <c r="G8" s="55">
        <v>0</v>
      </c>
      <c r="H8" s="55">
        <f>+F8+D8+B8</f>
        <v>1419199.9999999998</v>
      </c>
      <c r="I8" s="55">
        <f>+G8+E8+C8</f>
        <v>394.5376</v>
      </c>
    </row>
    <row r="9" spans="1:15" x14ac:dyDescent="0.25">
      <c r="A9" s="6" t="s">
        <v>324</v>
      </c>
      <c r="B9" s="55">
        <v>0</v>
      </c>
      <c r="C9" s="55">
        <v>0</v>
      </c>
      <c r="D9" s="7">
        <v>0</v>
      </c>
      <c r="E9" s="7">
        <v>0</v>
      </c>
      <c r="F9" s="55">
        <f>+'Üzemanyag SZC Összesen'!E133</f>
        <v>4372.32</v>
      </c>
      <c r="G9" s="55">
        <f>+F9*9.78305556/1000</f>
        <v>42.774649486099193</v>
      </c>
      <c r="H9" s="55">
        <f>+F9+D9+B9</f>
        <v>4372.32</v>
      </c>
      <c r="I9" s="55">
        <f>+G9+E9+C9</f>
        <v>42.774649486099193</v>
      </c>
    </row>
    <row r="10" spans="1:15" ht="15.75" thickBot="1" x14ac:dyDescent="0.3">
      <c r="A10" s="6" t="s">
        <v>325</v>
      </c>
      <c r="B10" s="55">
        <v>0</v>
      </c>
      <c r="C10" s="55">
        <v>0</v>
      </c>
      <c r="D10" s="7">
        <v>0</v>
      </c>
      <c r="E10" s="7">
        <v>0</v>
      </c>
      <c r="F10" s="55">
        <f>+'Üzemanyag SZC Összesen'!E134</f>
        <v>1847.4499999999998</v>
      </c>
      <c r="G10" s="55">
        <f>+F10*9.78444444/1000</f>
        <v>18.076271880678</v>
      </c>
      <c r="H10" s="55">
        <f>+F10+D10+B10</f>
        <v>1847.4499999999998</v>
      </c>
      <c r="I10" s="55">
        <f>+G10+E10+C10</f>
        <v>18.076271880678</v>
      </c>
    </row>
    <row r="11" spans="1:15" ht="23.25" customHeight="1" thickTop="1" thickBot="1" x14ac:dyDescent="0.3">
      <c r="A11" s="2" t="s">
        <v>6</v>
      </c>
      <c r="B11" s="3" t="s">
        <v>28</v>
      </c>
      <c r="C11" s="56">
        <f>SUM(C6:C10)</f>
        <v>5456.6992064582419</v>
      </c>
      <c r="D11" s="3" t="s">
        <v>28</v>
      </c>
      <c r="E11" s="3">
        <f>SUM(E6:E10)</f>
        <v>0</v>
      </c>
      <c r="F11" s="3" t="s">
        <v>28</v>
      </c>
      <c r="G11" s="56">
        <f>SUM(G6:G10)</f>
        <v>60.850921366777193</v>
      </c>
      <c r="H11" s="3" t="s">
        <v>28</v>
      </c>
      <c r="I11" s="56">
        <f>SUM(I6:I10)</f>
        <v>5517.5501278250194</v>
      </c>
    </row>
    <row r="12" spans="1:15" ht="30" customHeight="1" thickTop="1" thickBot="1" x14ac:dyDescent="0.3">
      <c r="A12" s="2" t="s">
        <v>383</v>
      </c>
      <c r="B12" s="201">
        <f>((C7*0.365)+(C6*0.203)+(C8*0.273))/1000</f>
        <v>1.2141773449110231</v>
      </c>
      <c r="C12" s="57" t="s">
        <v>28</v>
      </c>
      <c r="D12" s="201">
        <v>0</v>
      </c>
      <c r="E12" s="57" t="s">
        <v>28</v>
      </c>
      <c r="F12" s="57">
        <f>+(G9*0.267+G10*0.249)/1000</f>
        <v>1.5921823111077309E-2</v>
      </c>
      <c r="G12" s="57" t="s">
        <v>28</v>
      </c>
      <c r="H12" s="310">
        <f>+F12+D12+B12</f>
        <v>1.2300991680221005</v>
      </c>
      <c r="I12" s="57" t="s">
        <v>28</v>
      </c>
    </row>
    <row r="13" spans="1:15" ht="21" customHeight="1" thickTop="1" thickBot="1" x14ac:dyDescent="0.3">
      <c r="A13" s="2" t="s">
        <v>391</v>
      </c>
      <c r="B13" s="56">
        <f>+'Hő Energia SZC Összesen'!N42+'Villamos Energia SZC Összesen'!Q6+'Földgáz SZC Összesen'!K8</f>
        <v>87940555.921700001</v>
      </c>
      <c r="C13" s="58" t="s">
        <v>28</v>
      </c>
      <c r="D13" s="56">
        <v>0</v>
      </c>
      <c r="E13" s="58" t="s">
        <v>28</v>
      </c>
      <c r="F13" s="56">
        <f>+'Üzemanyag SZC Összesen'!D135/1.27</f>
        <v>2279506.2992125982</v>
      </c>
      <c r="G13" s="58" t="s">
        <v>28</v>
      </c>
      <c r="H13" s="56">
        <f>+F13+D13+B13</f>
        <v>90220062.220912606</v>
      </c>
      <c r="I13" s="58" t="s">
        <v>28</v>
      </c>
    </row>
    <row r="14" spans="1:15" ht="11.25" customHeight="1" thickTop="1" thickBot="1" x14ac:dyDescent="0.3">
      <c r="A14" s="8"/>
      <c r="B14" s="9"/>
      <c r="C14" s="9"/>
      <c r="D14" s="9"/>
      <c r="E14" s="9"/>
      <c r="F14" s="9"/>
      <c r="G14" s="9"/>
      <c r="H14" s="9"/>
      <c r="I14" s="9"/>
    </row>
    <row r="15" spans="1:15" ht="18.75" customHeight="1" thickTop="1" thickBot="1" x14ac:dyDescent="0.3">
      <c r="A15" s="408" t="s">
        <v>45</v>
      </c>
      <c r="B15" s="401" t="s">
        <v>34</v>
      </c>
      <c r="C15" s="402"/>
      <c r="D15" s="402"/>
      <c r="E15" s="402"/>
      <c r="F15" s="402"/>
      <c r="G15" s="402"/>
      <c r="H15" s="402"/>
      <c r="I15" s="403"/>
    </row>
    <row r="16" spans="1:15" ht="61.5" thickTop="1" thickBot="1" x14ac:dyDescent="0.3">
      <c r="A16" s="409"/>
      <c r="B16" s="410" t="s">
        <v>35</v>
      </c>
      <c r="C16" s="410"/>
      <c r="D16" s="410" t="s">
        <v>37</v>
      </c>
      <c r="E16" s="410"/>
      <c r="F16" s="410" t="s">
        <v>36</v>
      </c>
      <c r="G16" s="410"/>
      <c r="H16" s="410" t="s">
        <v>6</v>
      </c>
      <c r="I16" s="410"/>
      <c r="K16" s="1" t="s">
        <v>445</v>
      </c>
      <c r="L16" s="1" t="s">
        <v>446</v>
      </c>
      <c r="M16" s="1" t="s">
        <v>447</v>
      </c>
      <c r="N16" s="1" t="s">
        <v>448</v>
      </c>
      <c r="O16" s="1" t="s">
        <v>449</v>
      </c>
    </row>
    <row r="17" spans="1:15" ht="63" customHeight="1" thickTop="1" thickBot="1" x14ac:dyDescent="0.3">
      <c r="A17" s="13" t="s">
        <v>46</v>
      </c>
      <c r="B17" s="404" t="s">
        <v>441</v>
      </c>
      <c r="C17" s="404"/>
      <c r="D17" s="405"/>
      <c r="E17" s="405"/>
      <c r="F17" s="405"/>
      <c r="G17" s="405"/>
      <c r="H17" s="405" t="s">
        <v>28</v>
      </c>
      <c r="I17" s="405"/>
      <c r="K17" s="1">
        <v>178.60499999999999</v>
      </c>
      <c r="L17" s="1">
        <v>130.15100000000001</v>
      </c>
      <c r="M17" s="1">
        <v>1100</v>
      </c>
      <c r="N17" s="352">
        <f>+K17*M17</f>
        <v>196465.5</v>
      </c>
      <c r="O17" s="352">
        <f>+L17*M17</f>
        <v>143166.1</v>
      </c>
    </row>
    <row r="18" spans="1:15" ht="30" thickTop="1" thickBot="1" x14ac:dyDescent="0.3">
      <c r="A18" s="13" t="s">
        <v>47</v>
      </c>
      <c r="B18" s="405" t="s">
        <v>442</v>
      </c>
      <c r="C18" s="405"/>
      <c r="D18" s="405"/>
      <c r="E18" s="405"/>
      <c r="F18" s="405"/>
      <c r="G18" s="405"/>
      <c r="H18" s="405" t="s">
        <v>28</v>
      </c>
      <c r="I18" s="405"/>
    </row>
    <row r="19" spans="1:15" ht="30" thickTop="1" thickBot="1" x14ac:dyDescent="0.3">
      <c r="A19" s="13" t="s">
        <v>48</v>
      </c>
      <c r="B19" s="405" t="s">
        <v>442</v>
      </c>
      <c r="C19" s="405"/>
      <c r="D19" s="405"/>
      <c r="E19" s="405"/>
      <c r="F19" s="405"/>
      <c r="G19" s="405"/>
      <c r="H19" s="405" t="s">
        <v>28</v>
      </c>
      <c r="I19" s="405"/>
    </row>
    <row r="20" spans="1:15" ht="21.75" customHeight="1" thickTop="1" thickBot="1" x14ac:dyDescent="0.3">
      <c r="A20" s="13" t="s">
        <v>49</v>
      </c>
      <c r="B20" s="405" t="s">
        <v>443</v>
      </c>
      <c r="C20" s="405"/>
      <c r="D20" s="405"/>
      <c r="E20" s="405"/>
      <c r="F20" s="405"/>
      <c r="G20" s="405"/>
      <c r="H20" s="405" t="s">
        <v>28</v>
      </c>
      <c r="I20" s="405"/>
    </row>
    <row r="21" spans="1:15" ht="30" thickTop="1" thickBot="1" x14ac:dyDescent="0.3">
      <c r="A21" s="13" t="s">
        <v>444</v>
      </c>
      <c r="B21" s="406">
        <f>10338384/1000</f>
        <v>10338.384</v>
      </c>
      <c r="C21" s="406"/>
      <c r="D21" s="405"/>
      <c r="E21" s="405"/>
      <c r="F21" s="405"/>
      <c r="G21" s="405"/>
      <c r="H21" s="405"/>
      <c r="I21" s="405"/>
    </row>
    <row r="22" spans="1:15" ht="30" thickTop="1" thickBot="1" x14ac:dyDescent="0.3">
      <c r="A22" s="14" t="s">
        <v>50</v>
      </c>
      <c r="B22" s="15" t="s">
        <v>39</v>
      </c>
      <c r="C22" s="15" t="s">
        <v>43</v>
      </c>
      <c r="D22" s="15" t="s">
        <v>39</v>
      </c>
      <c r="E22" s="15" t="s">
        <v>43</v>
      </c>
      <c r="F22" s="15" t="s">
        <v>39</v>
      </c>
      <c r="G22" s="15" t="s">
        <v>43</v>
      </c>
      <c r="H22" s="15" t="s">
        <v>39</v>
      </c>
      <c r="I22" s="15" t="s">
        <v>43</v>
      </c>
    </row>
    <row r="23" spans="1:15" ht="15.75" thickTop="1" x14ac:dyDescent="0.25">
      <c r="A23" s="16" t="s">
        <v>40</v>
      </c>
      <c r="B23" s="17"/>
      <c r="C23" s="17"/>
      <c r="D23" s="17"/>
      <c r="E23" s="17"/>
      <c r="F23" s="17"/>
      <c r="G23" s="17"/>
      <c r="H23" s="17"/>
      <c r="I23" s="17"/>
    </row>
    <row r="24" spans="1:15" x14ac:dyDescent="0.25">
      <c r="A24" s="18" t="s">
        <v>41</v>
      </c>
      <c r="B24" s="353">
        <f>+O17</f>
        <v>143166.1</v>
      </c>
      <c r="C24" s="353">
        <f>+B24/1000</f>
        <v>143.1661</v>
      </c>
      <c r="D24" s="19"/>
      <c r="E24" s="19"/>
      <c r="F24" s="19"/>
      <c r="G24" s="19"/>
      <c r="H24" s="19"/>
      <c r="I24" s="19"/>
    </row>
    <row r="25" spans="1:15" x14ac:dyDescent="0.25">
      <c r="A25" s="18" t="s">
        <v>326</v>
      </c>
      <c r="B25" s="19"/>
      <c r="C25" s="19"/>
      <c r="D25" s="19"/>
      <c r="E25" s="19"/>
      <c r="F25" s="19"/>
      <c r="G25" s="19"/>
      <c r="H25" s="19"/>
      <c r="I25" s="19"/>
    </row>
    <row r="26" spans="1:15" x14ac:dyDescent="0.25">
      <c r="A26" s="18" t="s">
        <v>42</v>
      </c>
      <c r="B26" s="19"/>
      <c r="C26" s="19"/>
      <c r="D26" s="19"/>
      <c r="E26" s="19"/>
      <c r="F26" s="19"/>
      <c r="G26" s="19"/>
      <c r="H26" s="19"/>
      <c r="I26" s="19"/>
    </row>
    <row r="27" spans="1:15" ht="15.75" thickBot="1" x14ac:dyDescent="0.3">
      <c r="A27" s="20" t="s">
        <v>27</v>
      </c>
      <c r="B27" s="21"/>
      <c r="C27" s="21"/>
      <c r="D27" s="21"/>
      <c r="E27" s="21"/>
      <c r="F27" s="21"/>
      <c r="G27" s="21"/>
      <c r="H27" s="21"/>
      <c r="I27" s="21"/>
    </row>
    <row r="28" spans="1:15" ht="21.75" customHeight="1" thickTop="1" thickBot="1" x14ac:dyDescent="0.3">
      <c r="A28" s="13" t="s">
        <v>6</v>
      </c>
      <c r="B28" s="354">
        <f>SUM(B24:B27)</f>
        <v>143166.1</v>
      </c>
      <c r="C28" s="354">
        <f>SUM(C24:C27)</f>
        <v>143.1661</v>
      </c>
      <c r="D28" s="22"/>
      <c r="E28" s="22"/>
      <c r="F28" s="22"/>
      <c r="G28" s="22"/>
      <c r="H28" s="22"/>
      <c r="I28" s="22"/>
    </row>
    <row r="29" spans="1:15" ht="30" thickTop="1" thickBot="1" x14ac:dyDescent="0.3">
      <c r="A29" s="13" t="s">
        <v>51</v>
      </c>
      <c r="B29" s="15" t="s">
        <v>39</v>
      </c>
      <c r="C29" s="15" t="s">
        <v>43</v>
      </c>
      <c r="D29" s="15" t="s">
        <v>39</v>
      </c>
      <c r="E29" s="15" t="s">
        <v>43</v>
      </c>
      <c r="F29" s="15" t="s">
        <v>39</v>
      </c>
      <c r="G29" s="15" t="s">
        <v>43</v>
      </c>
      <c r="H29" s="15" t="s">
        <v>39</v>
      </c>
      <c r="I29" s="15" t="s">
        <v>43</v>
      </c>
    </row>
    <row r="30" spans="1:15" ht="15.75" thickTop="1" x14ac:dyDescent="0.25">
      <c r="A30" s="16" t="s">
        <v>40</v>
      </c>
      <c r="B30" s="17"/>
      <c r="C30" s="17"/>
      <c r="D30" s="17"/>
      <c r="E30" s="17"/>
      <c r="F30" s="17"/>
      <c r="G30" s="17"/>
      <c r="H30" s="17"/>
      <c r="I30" s="17"/>
    </row>
    <row r="31" spans="1:15" x14ac:dyDescent="0.25">
      <c r="A31" s="18" t="s">
        <v>41</v>
      </c>
      <c r="B31" s="353">
        <f>+B24</f>
        <v>143166.1</v>
      </c>
      <c r="C31" s="353">
        <f>+C24</f>
        <v>143.1661</v>
      </c>
      <c r="D31" s="19"/>
      <c r="E31" s="19"/>
      <c r="F31" s="19"/>
      <c r="G31" s="19"/>
      <c r="H31" s="19"/>
      <c r="I31" s="19"/>
    </row>
    <row r="32" spans="1:15" x14ac:dyDescent="0.25">
      <c r="A32" s="18" t="s">
        <v>326</v>
      </c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18" t="s">
        <v>42</v>
      </c>
      <c r="B33" s="19"/>
      <c r="C33" s="19"/>
      <c r="D33" s="19"/>
      <c r="E33" s="19"/>
      <c r="F33" s="19"/>
      <c r="G33" s="19"/>
      <c r="H33" s="19"/>
      <c r="I33" s="19"/>
    </row>
    <row r="34" spans="1:9" ht="15.75" thickBot="1" x14ac:dyDescent="0.3">
      <c r="A34" s="20" t="s">
        <v>27</v>
      </c>
      <c r="B34" s="21"/>
      <c r="C34" s="21"/>
      <c r="D34" s="21"/>
      <c r="E34" s="21"/>
      <c r="F34" s="21"/>
      <c r="G34" s="21"/>
      <c r="H34" s="21"/>
      <c r="I34" s="21"/>
    </row>
    <row r="35" spans="1:9" ht="20.25" customHeight="1" thickTop="1" thickBot="1" x14ac:dyDescent="0.3">
      <c r="A35" s="13" t="s">
        <v>6</v>
      </c>
      <c r="B35" s="354">
        <f>SUM(B31:B34)</f>
        <v>143166.1</v>
      </c>
      <c r="C35" s="354">
        <f>SUM(C31:C34)</f>
        <v>143.1661</v>
      </c>
      <c r="D35" s="22"/>
      <c r="E35" s="22"/>
      <c r="F35" s="22"/>
      <c r="G35" s="22"/>
      <c r="H35" s="22"/>
      <c r="I35" s="22"/>
    </row>
    <row r="36" spans="1:9" ht="30" thickTop="1" thickBot="1" x14ac:dyDescent="0.3">
      <c r="A36" s="13" t="s">
        <v>52</v>
      </c>
      <c r="B36" s="23" t="s">
        <v>28</v>
      </c>
      <c r="C36" s="23"/>
      <c r="D36" s="23" t="s">
        <v>28</v>
      </c>
      <c r="E36" s="23"/>
      <c r="F36" s="23" t="s">
        <v>28</v>
      </c>
      <c r="G36" s="23"/>
      <c r="H36" s="23" t="s">
        <v>28</v>
      </c>
      <c r="I36" s="23"/>
    </row>
    <row r="37" spans="1:9" ht="38.25" customHeight="1" thickTop="1" thickBot="1" x14ac:dyDescent="0.3">
      <c r="A37" s="13" t="s">
        <v>450</v>
      </c>
      <c r="B37" s="406">
        <f>+B31*'Villamos Energia SZC Összesen'!R6/1000</f>
        <v>6000.0553398921993</v>
      </c>
      <c r="C37" s="406"/>
      <c r="D37" s="405"/>
      <c r="E37" s="405"/>
      <c r="F37" s="405"/>
      <c r="G37" s="405"/>
      <c r="H37" s="405"/>
      <c r="I37" s="405"/>
    </row>
    <row r="38" spans="1:9" ht="44.25" thickTop="1" thickBot="1" x14ac:dyDescent="0.3">
      <c r="A38" s="13" t="s">
        <v>53</v>
      </c>
      <c r="B38" s="405" t="s">
        <v>28</v>
      </c>
      <c r="C38" s="405"/>
      <c r="D38" s="405"/>
      <c r="E38" s="405"/>
      <c r="F38" s="405"/>
      <c r="G38" s="405"/>
      <c r="H38" s="405"/>
      <c r="I38" s="405"/>
    </row>
    <row r="39" spans="1:9" ht="33.75" customHeight="1" thickTop="1" thickBot="1" x14ac:dyDescent="0.3">
      <c r="A39" s="13" t="s">
        <v>451</v>
      </c>
      <c r="B39" s="406">
        <f>+B21/B37</f>
        <v>1.7230481077839102</v>
      </c>
      <c r="C39" s="406"/>
      <c r="D39" s="405"/>
      <c r="E39" s="405"/>
      <c r="F39" s="405"/>
      <c r="G39" s="405"/>
      <c r="H39" s="405"/>
      <c r="I39" s="405"/>
    </row>
    <row r="40" spans="1:9" ht="36" customHeight="1" thickTop="1" thickBot="1" x14ac:dyDescent="0.3">
      <c r="A40" s="13" t="s">
        <v>63</v>
      </c>
      <c r="B40" s="405">
        <v>25</v>
      </c>
      <c r="C40" s="405"/>
      <c r="D40" s="405"/>
      <c r="E40" s="405"/>
      <c r="F40" s="405"/>
      <c r="G40" s="405"/>
      <c r="H40" s="405"/>
      <c r="I40" s="405"/>
    </row>
    <row r="41" spans="1:9" ht="30" thickTop="1" thickBot="1" x14ac:dyDescent="0.3">
      <c r="A41" s="13" t="s">
        <v>54</v>
      </c>
      <c r="B41" s="407">
        <v>44439</v>
      </c>
      <c r="C41" s="405"/>
      <c r="D41" s="405"/>
      <c r="E41" s="405"/>
      <c r="F41" s="405"/>
      <c r="G41" s="405"/>
      <c r="H41" s="405"/>
      <c r="I41" s="405"/>
    </row>
    <row r="42" spans="1:9" ht="9.75" customHeight="1" thickTop="1" thickBot="1" x14ac:dyDescent="0.3"/>
    <row r="43" spans="1:9" ht="18.75" customHeight="1" thickTop="1" thickBot="1" x14ac:dyDescent="0.3">
      <c r="A43" s="411" t="s">
        <v>56</v>
      </c>
      <c r="B43" s="401" t="s">
        <v>34</v>
      </c>
      <c r="C43" s="402"/>
      <c r="D43" s="402"/>
      <c r="E43" s="402"/>
      <c r="F43" s="402"/>
      <c r="G43" s="402"/>
      <c r="H43" s="402"/>
      <c r="I43" s="403"/>
    </row>
    <row r="44" spans="1:9" ht="16.5" thickTop="1" thickBot="1" x14ac:dyDescent="0.3">
      <c r="A44" s="412"/>
      <c r="B44" s="410" t="s">
        <v>35</v>
      </c>
      <c r="C44" s="410"/>
      <c r="D44" s="410" t="s">
        <v>37</v>
      </c>
      <c r="E44" s="410"/>
      <c r="F44" s="410" t="s">
        <v>36</v>
      </c>
      <c r="G44" s="410"/>
      <c r="H44" s="410" t="s">
        <v>6</v>
      </c>
      <c r="I44" s="410"/>
    </row>
    <row r="45" spans="1:9" ht="16.5" thickTop="1" thickBot="1" x14ac:dyDescent="0.3">
      <c r="A45" s="10" t="s">
        <v>57</v>
      </c>
      <c r="B45" s="413" t="s">
        <v>28</v>
      </c>
      <c r="C45" s="413"/>
      <c r="D45" s="413" t="s">
        <v>28</v>
      </c>
      <c r="E45" s="413"/>
      <c r="F45" s="413" t="s">
        <v>28</v>
      </c>
      <c r="G45" s="413"/>
      <c r="H45" s="413" t="s">
        <v>28</v>
      </c>
      <c r="I45" s="413"/>
    </row>
    <row r="46" spans="1:9" ht="16.5" thickTop="1" thickBot="1" x14ac:dyDescent="0.3">
      <c r="A46" s="10" t="s">
        <v>58</v>
      </c>
      <c r="B46" s="413" t="s">
        <v>28</v>
      </c>
      <c r="C46" s="413"/>
      <c r="D46" s="413" t="s">
        <v>28</v>
      </c>
      <c r="E46" s="413"/>
      <c r="F46" s="413" t="s">
        <v>28</v>
      </c>
      <c r="G46" s="413"/>
      <c r="H46" s="413" t="s">
        <v>28</v>
      </c>
      <c r="I46" s="413"/>
    </row>
    <row r="47" spans="1:9" ht="16.5" thickTop="1" thickBot="1" x14ac:dyDescent="0.3">
      <c r="A47" s="10" t="s">
        <v>59</v>
      </c>
      <c r="B47" s="413" t="s">
        <v>28</v>
      </c>
      <c r="C47" s="413"/>
      <c r="D47" s="413" t="s">
        <v>28</v>
      </c>
      <c r="E47" s="413"/>
      <c r="F47" s="413" t="s">
        <v>28</v>
      </c>
      <c r="G47" s="413"/>
      <c r="H47" s="413" t="s">
        <v>28</v>
      </c>
      <c r="I47" s="413"/>
    </row>
    <row r="48" spans="1:9" ht="16.5" thickTop="1" thickBot="1" x14ac:dyDescent="0.3">
      <c r="A48" s="414" t="s">
        <v>62</v>
      </c>
      <c r="B48" s="11" t="s">
        <v>60</v>
      </c>
      <c r="C48" s="11" t="s">
        <v>61</v>
      </c>
      <c r="D48" s="11" t="s">
        <v>60</v>
      </c>
      <c r="E48" s="11" t="s">
        <v>61</v>
      </c>
      <c r="F48" s="11" t="s">
        <v>60</v>
      </c>
      <c r="G48" s="11" t="s">
        <v>61</v>
      </c>
      <c r="H48" s="11" t="s">
        <v>60</v>
      </c>
      <c r="I48" s="11" t="s">
        <v>61</v>
      </c>
    </row>
    <row r="49" spans="1:9" ht="16.5" thickTop="1" thickBot="1" x14ac:dyDescent="0.3">
      <c r="A49" s="414"/>
      <c r="B49" s="12" t="s">
        <v>28</v>
      </c>
      <c r="C49" s="351" t="s">
        <v>28</v>
      </c>
      <c r="D49" s="351" t="s">
        <v>28</v>
      </c>
      <c r="E49" s="351" t="s">
        <v>28</v>
      </c>
      <c r="F49" s="351" t="s">
        <v>28</v>
      </c>
      <c r="G49" s="351" t="s">
        <v>28</v>
      </c>
      <c r="H49" s="351" t="s">
        <v>28</v>
      </c>
      <c r="I49" s="351" t="s">
        <v>28</v>
      </c>
    </row>
    <row r="50" spans="1:9" ht="15.75" thickTop="1" x14ac:dyDescent="0.25"/>
  </sheetData>
  <mergeCells count="72">
    <mergeCell ref="B47:C47"/>
    <mergeCell ref="D47:E47"/>
    <mergeCell ref="F47:G47"/>
    <mergeCell ref="H47:I47"/>
    <mergeCell ref="A48:A49"/>
    <mergeCell ref="B45:C45"/>
    <mergeCell ref="D45:E45"/>
    <mergeCell ref="F45:G45"/>
    <mergeCell ref="H45:I45"/>
    <mergeCell ref="B46:C46"/>
    <mergeCell ref="D46:E46"/>
    <mergeCell ref="F46:G46"/>
    <mergeCell ref="H46:I46"/>
    <mergeCell ref="A43:A44"/>
    <mergeCell ref="B43:I43"/>
    <mergeCell ref="B44:C44"/>
    <mergeCell ref="D44:E44"/>
    <mergeCell ref="F44:G44"/>
    <mergeCell ref="H44:I44"/>
    <mergeCell ref="B41:C41"/>
    <mergeCell ref="D41:E41"/>
    <mergeCell ref="F41:G41"/>
    <mergeCell ref="H41:I41"/>
    <mergeCell ref="A15:A16"/>
    <mergeCell ref="B16:C16"/>
    <mergeCell ref="D16:E16"/>
    <mergeCell ref="F16:G16"/>
    <mergeCell ref="H16:I16"/>
    <mergeCell ref="B15:I15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H21:I21"/>
    <mergeCell ref="H17:I17"/>
    <mergeCell ref="H18:I18"/>
    <mergeCell ref="H19:I19"/>
    <mergeCell ref="H20:I20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A3:A4"/>
    <mergeCell ref="B3:I3"/>
    <mergeCell ref="H4:I4"/>
    <mergeCell ref="A1:I1"/>
    <mergeCell ref="B17:C17"/>
    <mergeCell ref="D17:E17"/>
    <mergeCell ref="F17:G17"/>
    <mergeCell ref="B4:C4"/>
    <mergeCell ref="D4:E4"/>
    <mergeCell ref="F4:G4"/>
  </mergeCells>
  <printOptions horizontalCentered="1"/>
  <pageMargins left="0.31496062992125984" right="0.23622047244094491" top="0.31496062992125984" bottom="0.31496062992125984" header="0.19685039370078741" footer="0.19685039370078741"/>
  <pageSetup paperSize="9" scale="97" fitToHeight="2" orientation="landscape" r:id="rId1"/>
  <headerFooter>
    <oddFooter>&amp;LGombkötő Ervin János
energetikai szakreferens&amp;C&amp;P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7" sqref="B27"/>
    </sheetView>
  </sheetViews>
  <sheetFormatPr defaultRowHeight="15" x14ac:dyDescent="0.25"/>
  <cols>
    <col min="1" max="1" width="5.7109375" customWidth="1"/>
    <col min="2" max="2" width="37.85546875" customWidth="1"/>
    <col min="3" max="3" width="26.28515625" customWidth="1"/>
    <col min="4" max="4" width="12.5703125" customWidth="1"/>
    <col min="5" max="5" width="12" customWidth="1"/>
    <col min="7" max="8" width="11.85546875" customWidth="1"/>
    <col min="9" max="9" width="9.42578125" customWidth="1"/>
    <col min="10" max="10" width="12.42578125" customWidth="1"/>
    <col min="11" max="11" width="11.7109375" customWidth="1"/>
    <col min="13" max="13" width="15.5703125" customWidth="1"/>
  </cols>
  <sheetData>
    <row r="1" spans="1:13" ht="16.5" thickTop="1" thickBot="1" x14ac:dyDescent="0.3">
      <c r="A1" s="416" t="s">
        <v>0</v>
      </c>
      <c r="B1" s="416" t="s">
        <v>351</v>
      </c>
      <c r="C1" s="416" t="s">
        <v>352</v>
      </c>
      <c r="D1" s="415" t="s">
        <v>353</v>
      </c>
      <c r="E1" s="415"/>
      <c r="F1" s="415"/>
      <c r="G1" s="415" t="s">
        <v>357</v>
      </c>
      <c r="H1" s="415"/>
      <c r="I1" s="415"/>
      <c r="J1" s="415" t="s">
        <v>360</v>
      </c>
      <c r="K1" s="415"/>
      <c r="L1" s="415"/>
      <c r="M1" s="415" t="s">
        <v>363</v>
      </c>
    </row>
    <row r="2" spans="1:13" ht="31.5" thickTop="1" thickBot="1" x14ac:dyDescent="0.3">
      <c r="A2" s="416"/>
      <c r="B2" s="416"/>
      <c r="C2" s="416"/>
      <c r="D2" s="235" t="s">
        <v>354</v>
      </c>
      <c r="E2" s="235" t="s">
        <v>355</v>
      </c>
      <c r="F2" s="235" t="s">
        <v>356</v>
      </c>
      <c r="G2" s="235" t="s">
        <v>358</v>
      </c>
      <c r="H2" s="235" t="s">
        <v>355</v>
      </c>
      <c r="I2" s="235" t="s">
        <v>359</v>
      </c>
      <c r="J2" s="235" t="s">
        <v>361</v>
      </c>
      <c r="K2" s="235" t="s">
        <v>355</v>
      </c>
      <c r="L2" s="235" t="s">
        <v>362</v>
      </c>
      <c r="M2" s="415"/>
    </row>
    <row r="3" spans="1:13" ht="16.5" thickTop="1" thickBot="1" x14ac:dyDescent="0.3">
      <c r="A3" s="244">
        <v>1</v>
      </c>
      <c r="B3" s="244" t="s">
        <v>400</v>
      </c>
      <c r="C3" s="244" t="s">
        <v>85</v>
      </c>
      <c r="D3" s="245">
        <f>+'Földgáz Baja 20 feletti'!F16</f>
        <v>59903.368999999999</v>
      </c>
      <c r="E3" s="245">
        <f>+'Földgáz Baja 20 feletti'!M16</f>
        <v>7749929</v>
      </c>
      <c r="F3" s="246">
        <f>+E3/D3</f>
        <v>129.37384206220523</v>
      </c>
      <c r="G3" s="245">
        <f>+' Villamos Energia Baja'!G16</f>
        <v>90263</v>
      </c>
      <c r="H3" s="245">
        <f>+' Villamos Energia Baja'!Q16</f>
        <v>3589368</v>
      </c>
      <c r="I3" s="246">
        <f>+H3/G3</f>
        <v>39.765662563841218</v>
      </c>
      <c r="J3" s="268"/>
      <c r="K3" s="268"/>
      <c r="L3" s="268"/>
      <c r="M3" s="245">
        <f>+K3+H3+E3</f>
        <v>11339297</v>
      </c>
    </row>
    <row r="4" spans="1:13" ht="16.5" thickTop="1" thickBot="1" x14ac:dyDescent="0.3">
      <c r="A4" s="247"/>
      <c r="B4" s="248" t="s">
        <v>372</v>
      </c>
      <c r="C4" s="249"/>
      <c r="D4" s="250">
        <f>SUM(D3)</f>
        <v>59903.368999999999</v>
      </c>
      <c r="E4" s="250">
        <f>SUM(E3)</f>
        <v>7749929</v>
      </c>
      <c r="F4" s="251">
        <f>+E4/D4</f>
        <v>129.37384206220523</v>
      </c>
      <c r="G4" s="250">
        <f>SUM(G3)</f>
        <v>90263</v>
      </c>
      <c r="H4" s="250">
        <f>SUM(H3)</f>
        <v>3589368</v>
      </c>
      <c r="I4" s="251">
        <f>+H4/G4</f>
        <v>39.765662563841218</v>
      </c>
      <c r="J4" s="269"/>
      <c r="K4" s="269"/>
      <c r="L4" s="269"/>
      <c r="M4" s="258">
        <f>SUM(M3)</f>
        <v>11339297</v>
      </c>
    </row>
    <row r="5" spans="1:13" ht="15.75" thickTop="1" x14ac:dyDescent="0.25">
      <c r="A5" s="241">
        <f>+A3+1</f>
        <v>2</v>
      </c>
      <c r="B5" s="241" t="s">
        <v>401</v>
      </c>
      <c r="C5" s="241" t="s">
        <v>292</v>
      </c>
      <c r="D5" s="242">
        <f>+'Földgáz Baja 20 feletti'!F50</f>
        <v>42844.888999999996</v>
      </c>
      <c r="E5" s="242">
        <f>+'Földgáz Baja 20 feletti'!M50</f>
        <v>5456686</v>
      </c>
      <c r="F5" s="243">
        <f>+E5/D5</f>
        <v>127.35908826838134</v>
      </c>
      <c r="G5" s="242">
        <f>+' Villamos Energia Baja'!G52</f>
        <v>81961</v>
      </c>
      <c r="H5" s="242">
        <f>+' Villamos Energia Baja'!Q52</f>
        <v>3251506.7042</v>
      </c>
      <c r="I5" s="243">
        <f t="shared" ref="I5:I29" si="0">+H5/G5</f>
        <v>39.671388882517299</v>
      </c>
      <c r="J5" s="270"/>
      <c r="K5" s="270"/>
      <c r="L5" s="270"/>
      <c r="M5" s="242">
        <f t="shared" ref="M5:M27" si="1">+K5+H5+E5</f>
        <v>8708192.7041999996</v>
      </c>
    </row>
    <row r="6" spans="1:13" x14ac:dyDescent="0.25">
      <c r="A6" s="236">
        <f t="shared" ref="A6:A27" si="2">+A5+1</f>
        <v>3</v>
      </c>
      <c r="B6" s="236" t="s">
        <v>401</v>
      </c>
      <c r="C6" s="236" t="s">
        <v>364</v>
      </c>
      <c r="D6" s="238">
        <f>+'Földgáz Baja 20 feletti'!F67</f>
        <v>60842.77399999999</v>
      </c>
      <c r="E6" s="238">
        <f>+'Földgáz Baja 20 feletti'!M67</f>
        <v>8628670</v>
      </c>
      <c r="F6" s="237">
        <f t="shared" ref="F6:F29" si="3">+E6/D6</f>
        <v>141.81914190828974</v>
      </c>
      <c r="G6" s="238">
        <f>+' Villamos Energia Baja'!G33</f>
        <v>78678</v>
      </c>
      <c r="H6" s="238">
        <f>+' Villamos Energia Baja'!Q33</f>
        <v>3074393</v>
      </c>
      <c r="I6" s="237">
        <f t="shared" si="0"/>
        <v>39.07563740817001</v>
      </c>
      <c r="J6" s="266"/>
      <c r="K6" s="266"/>
      <c r="L6" s="266"/>
      <c r="M6" s="238">
        <f t="shared" si="1"/>
        <v>11703063</v>
      </c>
    </row>
    <row r="7" spans="1:13" ht="15.75" thickBot="1" x14ac:dyDescent="0.3">
      <c r="A7" s="239">
        <f t="shared" si="2"/>
        <v>4</v>
      </c>
      <c r="B7" s="239" t="s">
        <v>401</v>
      </c>
      <c r="C7" s="239" t="s">
        <v>365</v>
      </c>
      <c r="D7" s="240">
        <f>+'Földgáz Baja 20 alatti'!F58</f>
        <v>7267.4000000000005</v>
      </c>
      <c r="E7" s="240">
        <f>+'Földgáz Baja 20 alatti'!Q58</f>
        <v>866249</v>
      </c>
      <c r="F7" s="252">
        <f t="shared" si="3"/>
        <v>119.19654897212207</v>
      </c>
      <c r="G7" s="240">
        <f>+' Villamos Energia Baja'!G70</f>
        <v>8357</v>
      </c>
      <c r="H7" s="240">
        <f>+' Villamos Energia Baja'!Q70</f>
        <v>332959.25049999997</v>
      </c>
      <c r="I7" s="252">
        <f t="shared" si="0"/>
        <v>39.841958896733274</v>
      </c>
      <c r="J7" s="271"/>
      <c r="K7" s="271"/>
      <c r="L7" s="271"/>
      <c r="M7" s="240">
        <f t="shared" si="1"/>
        <v>1199208.2505000001</v>
      </c>
    </row>
    <row r="8" spans="1:13" ht="16.5" thickTop="1" thickBot="1" x14ac:dyDescent="0.3">
      <c r="A8" s="247"/>
      <c r="B8" s="248" t="s">
        <v>371</v>
      </c>
      <c r="C8" s="249"/>
      <c r="D8" s="250">
        <f>SUM(D5:D7)</f>
        <v>110955.06299999998</v>
      </c>
      <c r="E8" s="250">
        <f>SUM(E5:E7)</f>
        <v>14951605</v>
      </c>
      <c r="F8" s="253">
        <f t="shared" si="3"/>
        <v>134.75369753969679</v>
      </c>
      <c r="G8" s="250">
        <f>SUM(G5:G7)</f>
        <v>168996</v>
      </c>
      <c r="H8" s="250">
        <f>SUM(H5:H7)</f>
        <v>6658858.9546999997</v>
      </c>
      <c r="I8" s="253">
        <f t="shared" si="0"/>
        <v>39.402464879050392</v>
      </c>
      <c r="J8" s="272"/>
      <c r="K8" s="272"/>
      <c r="L8" s="272"/>
      <c r="M8" s="250">
        <f>SUM(M5:M7)</f>
        <v>21610463.954700001</v>
      </c>
    </row>
    <row r="9" spans="1:13" ht="15.75" thickTop="1" x14ac:dyDescent="0.25">
      <c r="A9" s="241">
        <f>+A7+1</f>
        <v>5</v>
      </c>
      <c r="B9" s="241" t="s">
        <v>402</v>
      </c>
      <c r="C9" s="241" t="s">
        <v>127</v>
      </c>
      <c r="D9" s="242">
        <f>+'Földgáz Baja 20 alatti'!F6</f>
        <v>0</v>
      </c>
      <c r="E9" s="242">
        <f>+'Földgáz Baja 20 alatti'!Q6</f>
        <v>12312</v>
      </c>
      <c r="F9" s="243">
        <v>0</v>
      </c>
      <c r="G9" s="242">
        <f>+' Villamos Energia Baja'!G142</f>
        <v>8</v>
      </c>
      <c r="H9" s="242">
        <f>+' Villamos Energia Baja'!Q142</f>
        <v>1765</v>
      </c>
      <c r="I9" s="243">
        <v>0</v>
      </c>
      <c r="J9" s="270"/>
      <c r="K9" s="270"/>
      <c r="L9" s="270"/>
      <c r="M9" s="242">
        <f t="shared" si="1"/>
        <v>14077</v>
      </c>
    </row>
    <row r="10" spans="1:13" x14ac:dyDescent="0.25">
      <c r="A10" s="236">
        <f t="shared" si="2"/>
        <v>6</v>
      </c>
      <c r="B10" s="236" t="s">
        <v>402</v>
      </c>
      <c r="C10" s="236" t="s">
        <v>289</v>
      </c>
      <c r="D10" s="238">
        <f>+'Földgáz Baja 20 alatti'!F23</f>
        <v>1616</v>
      </c>
      <c r="E10" s="238">
        <f>+'Földgáz Baja 20 alatti'!Q23</f>
        <v>191493</v>
      </c>
      <c r="F10" s="237">
        <f t="shared" si="3"/>
        <v>118.49814356435644</v>
      </c>
      <c r="G10" s="238">
        <f>+' Villamos Energia Baja'!G106</f>
        <v>17673</v>
      </c>
      <c r="H10" s="238">
        <f>+' Villamos Energia Baja'!Q106</f>
        <v>702982</v>
      </c>
      <c r="I10" s="237">
        <f t="shared" si="0"/>
        <v>39.777174220562436</v>
      </c>
      <c r="J10" s="266"/>
      <c r="K10" s="266"/>
      <c r="L10" s="266"/>
      <c r="M10" s="238">
        <f t="shared" si="1"/>
        <v>894475</v>
      </c>
    </row>
    <row r="11" spans="1:13" x14ac:dyDescent="0.25">
      <c r="A11" s="236">
        <f t="shared" si="2"/>
        <v>7</v>
      </c>
      <c r="B11" s="236" t="s">
        <v>402</v>
      </c>
      <c r="C11" s="236" t="s">
        <v>291</v>
      </c>
      <c r="D11" s="238">
        <f>+'Földgáz Baja 20 alatti'!F40</f>
        <v>1964.96</v>
      </c>
      <c r="E11" s="238">
        <f>+'Földgáz Baja 20 alatti'!Q40</f>
        <v>232336</v>
      </c>
      <c r="F11" s="237">
        <f t="shared" si="3"/>
        <v>118.23955703932904</v>
      </c>
      <c r="G11" s="238">
        <f>+' Villamos Energia Baja'!G88</f>
        <v>7584</v>
      </c>
      <c r="H11" s="238">
        <f>+' Villamos Energia Baja'!Q88</f>
        <v>299913</v>
      </c>
      <c r="I11" s="237">
        <f t="shared" si="0"/>
        <v>39.545490506329116</v>
      </c>
      <c r="J11" s="266"/>
      <c r="K11" s="266"/>
      <c r="L11" s="266"/>
      <c r="M11" s="238">
        <f t="shared" si="1"/>
        <v>532249</v>
      </c>
    </row>
    <row r="12" spans="1:13" x14ac:dyDescent="0.25">
      <c r="A12" s="236">
        <f t="shared" si="2"/>
        <v>8</v>
      </c>
      <c r="B12" s="236" t="s">
        <v>402</v>
      </c>
      <c r="C12" s="236" t="s">
        <v>127</v>
      </c>
      <c r="D12" s="266"/>
      <c r="E12" s="266"/>
      <c r="F12" s="267"/>
      <c r="G12" s="238">
        <f>+' Villamos Energia Baja'!G160</f>
        <v>5198</v>
      </c>
      <c r="H12" s="238">
        <f>+' Villamos Energia Baja'!Q160</f>
        <v>207773.18799999999</v>
      </c>
      <c r="I12" s="237">
        <f t="shared" si="0"/>
        <v>39.971756060023083</v>
      </c>
      <c r="J12" s="266"/>
      <c r="K12" s="266"/>
      <c r="L12" s="266"/>
      <c r="M12" s="238">
        <f t="shared" si="1"/>
        <v>207773.18799999999</v>
      </c>
    </row>
    <row r="13" spans="1:13" ht="15.75" thickBot="1" x14ac:dyDescent="0.3">
      <c r="A13" s="239">
        <f t="shared" si="2"/>
        <v>9</v>
      </c>
      <c r="B13" s="239" t="s">
        <v>402</v>
      </c>
      <c r="C13" s="239" t="s">
        <v>127</v>
      </c>
      <c r="D13" s="240">
        <f>+'Földgáz Baja 20 feletti'!F33</f>
        <v>63612.985999999997</v>
      </c>
      <c r="E13" s="240">
        <f>+'Földgáz Baja 20 feletti'!M33</f>
        <v>8275916</v>
      </c>
      <c r="F13" s="252">
        <f t="shared" si="3"/>
        <v>130.09790170830843</v>
      </c>
      <c r="G13" s="240">
        <f>+' Villamos Energia Baja'!G124</f>
        <v>60972</v>
      </c>
      <c r="H13" s="240">
        <f>+' Villamos Energia Baja'!Q124</f>
        <v>2420836</v>
      </c>
      <c r="I13" s="252">
        <f t="shared" si="0"/>
        <v>39.704060880404121</v>
      </c>
      <c r="J13" s="271"/>
      <c r="K13" s="271"/>
      <c r="L13" s="271"/>
      <c r="M13" s="240">
        <f t="shared" si="1"/>
        <v>10696752</v>
      </c>
    </row>
    <row r="14" spans="1:13" ht="16.5" thickTop="1" thickBot="1" x14ac:dyDescent="0.3">
      <c r="A14" s="247"/>
      <c r="B14" s="248" t="s">
        <v>373</v>
      </c>
      <c r="C14" s="249"/>
      <c r="D14" s="250">
        <f>SUM(D9:D13)</f>
        <v>67193.945999999996</v>
      </c>
      <c r="E14" s="250">
        <f>SUM(E9:E13)</f>
        <v>8712057</v>
      </c>
      <c r="F14" s="251">
        <f t="shared" si="3"/>
        <v>129.65538591824924</v>
      </c>
      <c r="G14" s="250">
        <f>SUM(G9:G13)</f>
        <v>91435</v>
      </c>
      <c r="H14" s="250">
        <f>SUM(H9:H13)</f>
        <v>3633269.1880000001</v>
      </c>
      <c r="I14" s="251">
        <f t="shared" si="0"/>
        <v>39.736087800076561</v>
      </c>
      <c r="J14" s="272"/>
      <c r="K14" s="272"/>
      <c r="L14" s="272"/>
      <c r="M14" s="250">
        <f>SUM(M9:M13)</f>
        <v>12345326.188000001</v>
      </c>
    </row>
    <row r="15" spans="1:13" ht="15.75" thickTop="1" x14ac:dyDescent="0.25">
      <c r="A15" s="241">
        <f>+A13+1</f>
        <v>10</v>
      </c>
      <c r="B15" s="241" t="s">
        <v>138</v>
      </c>
      <c r="C15" s="241" t="s">
        <v>370</v>
      </c>
      <c r="D15" s="259"/>
      <c r="E15" s="259"/>
      <c r="F15" s="260"/>
      <c r="G15" s="242">
        <f>+' Villamos Energia Baja'!G178</f>
        <v>11220</v>
      </c>
      <c r="H15" s="242">
        <f>+' Villamos Energia Baja'!Q178</f>
        <v>447046.28200000001</v>
      </c>
      <c r="I15" s="243">
        <f t="shared" si="0"/>
        <v>39.843697147950088</v>
      </c>
      <c r="J15" s="243">
        <f>+'Hő Energia SZC Összesen'!J34</f>
        <v>555.62999999999988</v>
      </c>
      <c r="K15" s="242">
        <f>+'Hő Energia SZC Összesen'!N34</f>
        <v>2693516</v>
      </c>
      <c r="L15" s="242">
        <f>+K15/J15</f>
        <v>4847.6792109857288</v>
      </c>
      <c r="M15" s="242">
        <f t="shared" si="1"/>
        <v>3140562.2820000001</v>
      </c>
    </row>
    <row r="16" spans="1:13" ht="15.75" thickBot="1" x14ac:dyDescent="0.3">
      <c r="A16" s="239">
        <f t="shared" si="2"/>
        <v>11</v>
      </c>
      <c r="B16" s="239" t="s">
        <v>138</v>
      </c>
      <c r="C16" s="239" t="s">
        <v>139</v>
      </c>
      <c r="D16" s="261"/>
      <c r="E16" s="261"/>
      <c r="F16" s="262"/>
      <c r="G16" s="240">
        <f>+' Villamos Energia Baja'!G197</f>
        <v>27772</v>
      </c>
      <c r="H16" s="240">
        <f>+' Villamos Energia Baja'!Q197</f>
        <v>1094644.2705000001</v>
      </c>
      <c r="I16" s="252">
        <f t="shared" si="0"/>
        <v>39.415392139565036</v>
      </c>
      <c r="J16" s="252">
        <f>+'Hő Energia SZC Összesen'!J16</f>
        <v>863.57</v>
      </c>
      <c r="K16" s="240">
        <f>+'Hő Energia SZC Összesen'!N16</f>
        <v>6689959.4399999995</v>
      </c>
      <c r="L16" s="240">
        <f>+K16/J16</f>
        <v>7746.8641106106033</v>
      </c>
      <c r="M16" s="240">
        <f t="shared" si="1"/>
        <v>7784603.7105</v>
      </c>
    </row>
    <row r="17" spans="1:13" ht="16.5" thickTop="1" thickBot="1" x14ac:dyDescent="0.3">
      <c r="A17" s="247"/>
      <c r="B17" s="248" t="s">
        <v>374</v>
      </c>
      <c r="C17" s="249"/>
      <c r="D17" s="263"/>
      <c r="E17" s="263"/>
      <c r="F17" s="264"/>
      <c r="G17" s="250">
        <f>SUM(G15:G16)</f>
        <v>38992</v>
      </c>
      <c r="H17" s="250">
        <f>SUM(H15:H16)</f>
        <v>1541690.5525000002</v>
      </c>
      <c r="I17" s="251">
        <f t="shared" si="0"/>
        <v>39.538637476918346</v>
      </c>
      <c r="J17" s="251">
        <f>SUM(J15:J16)</f>
        <v>1419.1999999999998</v>
      </c>
      <c r="K17" s="250">
        <f>SUM(K15:K16)</f>
        <v>9383475.4399999995</v>
      </c>
      <c r="L17" s="250">
        <f>+K17/J17</f>
        <v>6611.8062570462234</v>
      </c>
      <c r="M17" s="250">
        <f>SUM(M15:M16)</f>
        <v>10925165.9925</v>
      </c>
    </row>
    <row r="18" spans="1:13" ht="15.75" thickTop="1" x14ac:dyDescent="0.25">
      <c r="A18" s="241">
        <f>+A16+1</f>
        <v>12</v>
      </c>
      <c r="B18" s="241" t="s">
        <v>403</v>
      </c>
      <c r="C18" s="241" t="s">
        <v>366</v>
      </c>
      <c r="D18" s="242">
        <f>+'Földgáz Kalocsa 20 feletti'!F16</f>
        <v>28040.571000000004</v>
      </c>
      <c r="E18" s="242">
        <f>+'Földgáz Kalocsa 20 feletti'!M16</f>
        <v>4165205</v>
      </c>
      <c r="F18" s="243">
        <f t="shared" si="3"/>
        <v>148.54208924632809</v>
      </c>
      <c r="G18" s="242">
        <f>+'Villamos Energia Kalocsa'!G69</f>
        <v>4603</v>
      </c>
      <c r="H18" s="242">
        <f>+'Villamos Energia Kalocsa'!Q69</f>
        <v>183261.39150000003</v>
      </c>
      <c r="I18" s="243">
        <f t="shared" si="0"/>
        <v>39.813467629806652</v>
      </c>
      <c r="J18" s="265"/>
      <c r="K18" s="265"/>
      <c r="L18" s="265"/>
      <c r="M18" s="242">
        <f t="shared" si="1"/>
        <v>4348466.3914999999</v>
      </c>
    </row>
    <row r="19" spans="1:13" x14ac:dyDescent="0.25">
      <c r="A19" s="241">
        <f>+A18+1</f>
        <v>13</v>
      </c>
      <c r="B19" s="241" t="s">
        <v>404</v>
      </c>
      <c r="C19" s="241" t="s">
        <v>377</v>
      </c>
      <c r="D19" s="277"/>
      <c r="E19" s="277"/>
      <c r="F19" s="267"/>
      <c r="G19" s="242">
        <f>+'Villamos Energia Kalocsa'!G123</f>
        <v>13816</v>
      </c>
      <c r="H19" s="242">
        <f>+'Villamos Energia Kalocsa'!Q123</f>
        <v>547934.29599999997</v>
      </c>
      <c r="I19" s="243">
        <f t="shared" si="0"/>
        <v>39.659401852924141</v>
      </c>
      <c r="J19" s="270"/>
      <c r="K19" s="270"/>
      <c r="L19" s="270"/>
      <c r="M19" s="242">
        <f t="shared" si="1"/>
        <v>547934.29599999997</v>
      </c>
    </row>
    <row r="20" spans="1:13" x14ac:dyDescent="0.25">
      <c r="A20" s="241">
        <f t="shared" ref="A20:A23" si="4">+A19+1</f>
        <v>14</v>
      </c>
      <c r="B20" s="236" t="s">
        <v>403</v>
      </c>
      <c r="C20" s="236" t="s">
        <v>367</v>
      </c>
      <c r="D20" s="238">
        <f>+'Földgáz Kalocsa 20 feletti'!F50</f>
        <v>26691.263710787822</v>
      </c>
      <c r="E20" s="238">
        <f>+'Földgáz Kalocsa 20 feletti'!M50</f>
        <v>3826274</v>
      </c>
      <c r="F20" s="237">
        <f t="shared" si="3"/>
        <v>143.35304770352752</v>
      </c>
      <c r="G20" s="238">
        <f>+'Villamos Energia Kalocsa'!G51</f>
        <v>8196</v>
      </c>
      <c r="H20" s="238">
        <f>+'Villamos Energia Kalocsa'!Q51</f>
        <v>325490</v>
      </c>
      <c r="I20" s="237">
        <f t="shared" si="0"/>
        <v>39.713274768179602</v>
      </c>
      <c r="J20" s="266"/>
      <c r="K20" s="266"/>
      <c r="L20" s="266"/>
      <c r="M20" s="238">
        <f t="shared" si="1"/>
        <v>4151764</v>
      </c>
    </row>
    <row r="21" spans="1:13" x14ac:dyDescent="0.25">
      <c r="A21" s="241">
        <f t="shared" si="4"/>
        <v>15</v>
      </c>
      <c r="B21" s="236" t="s">
        <v>403</v>
      </c>
      <c r="C21" s="236" t="s">
        <v>190</v>
      </c>
      <c r="D21" s="238">
        <f>+'Földgáz Kalocsa 20 feletti'!F67</f>
        <v>29745.353999999999</v>
      </c>
      <c r="E21" s="238">
        <f>+'Földgáz Kalocsa 20 feletti'!M67</f>
        <v>3809465</v>
      </c>
      <c r="F21" s="237">
        <f t="shared" si="3"/>
        <v>128.06924402378939</v>
      </c>
      <c r="G21" s="238">
        <f>+'Villamos Energia Kalocsa'!G33</f>
        <v>22294</v>
      </c>
      <c r="H21" s="238">
        <f>+'Villamos Energia Kalocsa'!Q33</f>
        <v>1627808</v>
      </c>
      <c r="I21" s="237">
        <f t="shared" si="0"/>
        <v>73.015519870817258</v>
      </c>
      <c r="J21" s="266"/>
      <c r="K21" s="266"/>
      <c r="L21" s="266"/>
      <c r="M21" s="238">
        <f t="shared" si="1"/>
        <v>5437273</v>
      </c>
    </row>
    <row r="22" spans="1:13" x14ac:dyDescent="0.25">
      <c r="A22" s="241">
        <f t="shared" si="4"/>
        <v>16</v>
      </c>
      <c r="B22" s="236" t="s">
        <v>403</v>
      </c>
      <c r="C22" s="236" t="s">
        <v>161</v>
      </c>
      <c r="D22" s="238">
        <f>+'Földgáz Kalocsa 20 feletti'!F84</f>
        <v>66172</v>
      </c>
      <c r="E22" s="238">
        <f>+'Földgáz Kalocsa 20 feletti'!M84</f>
        <v>8331621</v>
      </c>
      <c r="F22" s="237">
        <f t="shared" si="3"/>
        <v>125.90855648914949</v>
      </c>
      <c r="G22" s="238">
        <f>+'Villamos Energia Kalocsa'!G87</f>
        <v>34217</v>
      </c>
      <c r="H22" s="238">
        <f>+'Villamos Energia Kalocsa'!Q87</f>
        <v>1357772.888</v>
      </c>
      <c r="I22" s="237">
        <f t="shared" si="0"/>
        <v>39.681237045912852</v>
      </c>
      <c r="J22" s="266"/>
      <c r="K22" s="266"/>
      <c r="L22" s="266"/>
      <c r="M22" s="238">
        <f t="shared" si="1"/>
        <v>9689393.8880000003</v>
      </c>
    </row>
    <row r="23" spans="1:13" ht="15.75" thickBot="1" x14ac:dyDescent="0.3">
      <c r="A23" s="241">
        <f t="shared" si="4"/>
        <v>17</v>
      </c>
      <c r="B23" s="239" t="s">
        <v>403</v>
      </c>
      <c r="C23" s="239" t="s">
        <v>282</v>
      </c>
      <c r="D23" s="240">
        <f>+'Földgáz Kalocsa 20 alatti'!F15</f>
        <v>10472.26</v>
      </c>
      <c r="E23" s="240">
        <f>+'Földgáz Kalocsa 20 alatti'!Q15</f>
        <v>1248736</v>
      </c>
      <c r="F23" s="252">
        <f t="shared" si="3"/>
        <v>119.24226480243996</v>
      </c>
      <c r="G23" s="240">
        <f>+'Villamos Energia Kalocsa'!G16</f>
        <v>6578</v>
      </c>
      <c r="H23" s="240">
        <f>+'Villamos Energia Kalocsa'!Q16</f>
        <v>640548</v>
      </c>
      <c r="I23" s="252">
        <f t="shared" si="0"/>
        <v>97.37731833384008</v>
      </c>
      <c r="J23" s="271"/>
      <c r="K23" s="271"/>
      <c r="L23" s="271"/>
      <c r="M23" s="240">
        <f t="shared" si="1"/>
        <v>1889284</v>
      </c>
    </row>
    <row r="24" spans="1:13" ht="16.5" thickTop="1" thickBot="1" x14ac:dyDescent="0.3">
      <c r="A24" s="247"/>
      <c r="B24" s="248" t="s">
        <v>375</v>
      </c>
      <c r="C24" s="249"/>
      <c r="D24" s="250">
        <f>SUM(D18:D23)</f>
        <v>161121.44871078784</v>
      </c>
      <c r="E24" s="250">
        <f>SUM(E18:E23)</f>
        <v>21381301</v>
      </c>
      <c r="F24" s="251">
        <f t="shared" si="3"/>
        <v>132.70300863778431</v>
      </c>
      <c r="G24" s="250">
        <f>SUM(G18:G23)</f>
        <v>89704</v>
      </c>
      <c r="H24" s="250">
        <f>SUM(H18:H23)</f>
        <v>4682814.5755000003</v>
      </c>
      <c r="I24" s="251">
        <f t="shared" si="0"/>
        <v>52.202962805449033</v>
      </c>
      <c r="J24" s="272"/>
      <c r="K24" s="272"/>
      <c r="L24" s="272"/>
      <c r="M24" s="250">
        <f>SUM(M18:M23)</f>
        <v>26064115.5755</v>
      </c>
    </row>
    <row r="25" spans="1:13" ht="15.75" thickTop="1" x14ac:dyDescent="0.25">
      <c r="A25" s="241">
        <f>+A23+1</f>
        <v>18</v>
      </c>
      <c r="B25" s="241" t="s">
        <v>405</v>
      </c>
      <c r="C25" s="241" t="s">
        <v>161</v>
      </c>
      <c r="D25" s="242">
        <f>+'Földgáz Kalocsa 20 feletti'!F33</f>
        <v>22303.842000000001</v>
      </c>
      <c r="E25" s="242">
        <f>+'Földgáz Kalocsa 20 feletti'!M33</f>
        <v>3186088</v>
      </c>
      <c r="F25" s="243">
        <f t="shared" si="3"/>
        <v>142.84929027025927</v>
      </c>
      <c r="G25" s="275"/>
      <c r="H25" s="275"/>
      <c r="I25" s="276"/>
      <c r="J25" s="270"/>
      <c r="K25" s="270"/>
      <c r="L25" s="270"/>
      <c r="M25" s="242">
        <f t="shared" si="1"/>
        <v>3186088</v>
      </c>
    </row>
    <row r="26" spans="1:13" x14ac:dyDescent="0.25">
      <c r="A26" s="236">
        <f t="shared" si="2"/>
        <v>19</v>
      </c>
      <c r="B26" s="236" t="s">
        <v>405</v>
      </c>
      <c r="C26" s="236" t="s">
        <v>368</v>
      </c>
      <c r="D26" s="273"/>
      <c r="E26" s="273"/>
      <c r="F26" s="274"/>
      <c r="G26" s="238">
        <f>+'Villamos Energia Kalocsa'!G105</f>
        <v>4537</v>
      </c>
      <c r="H26" s="238">
        <f>+'Villamos Energia Kalocsa'!Q105</f>
        <v>180552.5085</v>
      </c>
      <c r="I26" s="237">
        <f t="shared" si="0"/>
        <v>39.79557163323782</v>
      </c>
      <c r="J26" s="266"/>
      <c r="K26" s="266"/>
      <c r="L26" s="266"/>
      <c r="M26" s="238">
        <f t="shared" si="1"/>
        <v>180552.5085</v>
      </c>
    </row>
    <row r="27" spans="1:13" ht="15.75" thickBot="1" x14ac:dyDescent="0.3">
      <c r="A27" s="236">
        <f t="shared" si="2"/>
        <v>20</v>
      </c>
      <c r="B27" s="236" t="s">
        <v>405</v>
      </c>
      <c r="C27" s="236" t="s">
        <v>369</v>
      </c>
      <c r="D27" s="238">
        <f>+'Földgáz Kalocsa 20 alatti'!F32</f>
        <v>18263.98</v>
      </c>
      <c r="E27" s="238">
        <f>+'Földgáz Kalocsa 20 alatti'!Q32</f>
        <v>2177494</v>
      </c>
      <c r="F27" s="237">
        <f t="shared" si="3"/>
        <v>119.22341132655643</v>
      </c>
      <c r="G27" s="238">
        <f>+'Villamos Energia Kalocsa'!G141</f>
        <v>2800</v>
      </c>
      <c r="H27" s="238">
        <f>+'Villamos Energia Kalocsa'!Q141</f>
        <v>112052.70250000001</v>
      </c>
      <c r="I27" s="237">
        <f t="shared" si="0"/>
        <v>40.01882232142858</v>
      </c>
      <c r="J27" s="266"/>
      <c r="K27" s="266"/>
      <c r="L27" s="266"/>
      <c r="M27" s="238">
        <f t="shared" si="1"/>
        <v>2289546.7025000001</v>
      </c>
    </row>
    <row r="28" spans="1:13" ht="16.5" thickTop="1" thickBot="1" x14ac:dyDescent="0.3">
      <c r="A28" s="247"/>
      <c r="B28" s="248" t="s">
        <v>376</v>
      </c>
      <c r="C28" s="249"/>
      <c r="D28" s="250">
        <f>SUM(D25:D27)</f>
        <v>40567.822</v>
      </c>
      <c r="E28" s="250">
        <f>SUM(E25:E27)</f>
        <v>5363582</v>
      </c>
      <c r="F28" s="251">
        <f>+E28/D28</f>
        <v>132.21271775448039</v>
      </c>
      <c r="G28" s="250">
        <f>SUM(G25:G27)</f>
        <v>7337</v>
      </c>
      <c r="H28" s="250">
        <f>SUM(H25:H27)</f>
        <v>292605.21100000001</v>
      </c>
      <c r="I28" s="251">
        <f t="shared" si="0"/>
        <v>39.880770205806186</v>
      </c>
      <c r="J28" s="272"/>
      <c r="K28" s="272"/>
      <c r="L28" s="272"/>
      <c r="M28" s="250">
        <f>SUM(M25:M27)</f>
        <v>5656187.2110000001</v>
      </c>
    </row>
    <row r="29" spans="1:13" ht="16.5" thickTop="1" thickBot="1" x14ac:dyDescent="0.3">
      <c r="A29" s="247"/>
      <c r="B29" s="257" t="s">
        <v>336</v>
      </c>
      <c r="C29" s="247"/>
      <c r="D29" s="255">
        <f>+D28+D24+D14+D8+D4</f>
        <v>439741.64871078782</v>
      </c>
      <c r="E29" s="255">
        <f>+E28+E24+E14+E8+E4</f>
        <v>58158474</v>
      </c>
      <c r="F29" s="256">
        <f t="shared" si="3"/>
        <v>132.25600570358995</v>
      </c>
      <c r="G29" s="255">
        <f>+G28+G24+G17+G14+G8+G4</f>
        <v>486727</v>
      </c>
      <c r="H29" s="255">
        <f>+H28+H24+H17+H14+H8+H4</f>
        <v>20398606.481699999</v>
      </c>
      <c r="I29" s="256">
        <f t="shared" si="0"/>
        <v>41.90974916472684</v>
      </c>
      <c r="J29" s="256">
        <f>+J17</f>
        <v>1419.1999999999998</v>
      </c>
      <c r="K29" s="255">
        <f>+K17</f>
        <v>9383475.4399999995</v>
      </c>
      <c r="L29" s="255">
        <f>+K29/J29</f>
        <v>6611.8062570462234</v>
      </c>
      <c r="M29" s="255">
        <f>+M4+M8+M14+M17+M24+M28</f>
        <v>87940555.921700001</v>
      </c>
    </row>
    <row r="30" spans="1:13" ht="15.75" thickTop="1" x14ac:dyDescent="0.25"/>
    <row r="31" spans="1:13" x14ac:dyDescent="0.25">
      <c r="D31" s="254"/>
    </row>
  </sheetData>
  <mergeCells count="7">
    <mergeCell ref="M1:M2"/>
    <mergeCell ref="A1:A2"/>
    <mergeCell ref="D1:F1"/>
    <mergeCell ref="G1:I1"/>
    <mergeCell ref="J1:L1"/>
    <mergeCell ref="B1:B2"/>
    <mergeCell ref="C1:C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F11" sqref="F11"/>
    </sheetView>
  </sheetViews>
  <sheetFormatPr defaultRowHeight="14.25" x14ac:dyDescent="0.25"/>
  <cols>
    <col min="1" max="1" width="40.5703125" style="68" customWidth="1"/>
    <col min="2" max="2" width="24.42578125" style="68" customWidth="1"/>
    <col min="3" max="3" width="23.85546875" style="68" customWidth="1"/>
    <col min="4" max="4" width="13.140625" style="68" bestFit="1" customWidth="1"/>
    <col min="5" max="16384" width="9.140625" style="68"/>
  </cols>
  <sheetData>
    <row r="1" spans="1:3" ht="26.25" customHeight="1" thickTop="1" thickBot="1" x14ac:dyDescent="0.3">
      <c r="A1" s="357" t="s">
        <v>457</v>
      </c>
      <c r="B1" s="358"/>
      <c r="C1" s="359"/>
    </row>
    <row r="2" spans="1:3" ht="16.5" thickTop="1" thickBot="1" x14ac:dyDescent="0.3">
      <c r="A2" s="417"/>
      <c r="B2" s="417"/>
      <c r="C2" s="417"/>
    </row>
    <row r="3" spans="1:3" ht="15" customHeight="1" thickTop="1" x14ac:dyDescent="0.25">
      <c r="A3" s="418" t="s">
        <v>452</v>
      </c>
      <c r="B3" s="419"/>
      <c r="C3" s="420"/>
    </row>
    <row r="4" spans="1:3" ht="15" customHeight="1" thickBot="1" x14ac:dyDescent="0.3">
      <c r="A4" s="421"/>
      <c r="B4" s="422"/>
      <c r="C4" s="423"/>
    </row>
    <row r="5" spans="1:3" ht="55.5" customHeight="1" thickTop="1" thickBot="1" x14ac:dyDescent="0.3">
      <c r="A5" s="424" t="s">
        <v>453</v>
      </c>
      <c r="B5" s="425" t="s">
        <v>458</v>
      </c>
      <c r="C5" s="426"/>
    </row>
    <row r="6" spans="1:3" ht="16.5" thickTop="1" thickBot="1" x14ac:dyDescent="0.3">
      <c r="A6" s="424" t="s">
        <v>454</v>
      </c>
      <c r="B6" s="445">
        <v>44439</v>
      </c>
      <c r="C6" s="426"/>
    </row>
    <row r="7" spans="1:3" ht="31.5" thickTop="1" thickBot="1" x14ac:dyDescent="0.3">
      <c r="A7" s="427" t="s">
        <v>455</v>
      </c>
      <c r="B7" s="428" t="s">
        <v>39</v>
      </c>
      <c r="C7" s="428" t="s">
        <v>43</v>
      </c>
    </row>
    <row r="8" spans="1:3" ht="15.75" thickTop="1" thickBot="1" x14ac:dyDescent="0.3">
      <c r="A8" s="429" t="s">
        <v>41</v>
      </c>
      <c r="B8" s="430">
        <f>+'Adatok 22.C-hez'!B28</f>
        <v>143166.1</v>
      </c>
      <c r="C8" s="430">
        <f>+'Adatok 22.C-hez'!C35</f>
        <v>143.1661</v>
      </c>
    </row>
    <row r="9" spans="1:3" ht="16.5" thickTop="1" thickBot="1" x14ac:dyDescent="0.3">
      <c r="A9" s="424" t="s">
        <v>6</v>
      </c>
      <c r="B9" s="431" t="s">
        <v>28</v>
      </c>
      <c r="C9" s="432">
        <f>+C8</f>
        <v>143.1661</v>
      </c>
    </row>
    <row r="10" spans="1:3" ht="16.5" thickTop="1" thickBot="1" x14ac:dyDescent="0.3">
      <c r="A10" s="433"/>
      <c r="B10" s="42"/>
      <c r="C10" s="42"/>
    </row>
    <row r="11" spans="1:3" ht="15" customHeight="1" thickTop="1" x14ac:dyDescent="0.25">
      <c r="A11" s="434" t="s">
        <v>456</v>
      </c>
      <c r="B11" s="435"/>
      <c r="C11" s="436"/>
    </row>
    <row r="12" spans="1:3" ht="15" customHeight="1" thickBot="1" x14ac:dyDescent="0.3">
      <c r="A12" s="437"/>
      <c r="B12" s="438"/>
      <c r="C12" s="439"/>
    </row>
    <row r="13" spans="1:3" ht="16.5" thickTop="1" thickBot="1" x14ac:dyDescent="0.3">
      <c r="A13" s="440" t="s">
        <v>57</v>
      </c>
      <c r="B13" s="441" t="s">
        <v>28</v>
      </c>
      <c r="C13" s="441"/>
    </row>
    <row r="14" spans="1:3" ht="16.5" thickTop="1" thickBot="1" x14ac:dyDescent="0.3">
      <c r="A14" s="440" t="s">
        <v>58</v>
      </c>
      <c r="B14" s="441" t="s">
        <v>28</v>
      </c>
      <c r="C14" s="441"/>
    </row>
    <row r="15" spans="1:3" ht="16.5" thickTop="1" thickBot="1" x14ac:dyDescent="0.3">
      <c r="A15" s="440" t="s">
        <v>59</v>
      </c>
      <c r="B15" s="441" t="s">
        <v>28</v>
      </c>
      <c r="C15" s="441"/>
    </row>
    <row r="16" spans="1:3" ht="16.5" thickTop="1" thickBot="1" x14ac:dyDescent="0.3">
      <c r="A16" s="442" t="s">
        <v>62</v>
      </c>
      <c r="B16" s="443" t="s">
        <v>60</v>
      </c>
      <c r="C16" s="443" t="s">
        <v>61</v>
      </c>
    </row>
    <row r="17" spans="1:3" ht="15.75" thickTop="1" thickBot="1" x14ac:dyDescent="0.3">
      <c r="A17" s="442"/>
      <c r="B17" s="444" t="s">
        <v>28</v>
      </c>
      <c r="C17" s="444" t="s">
        <v>28</v>
      </c>
    </row>
    <row r="18" spans="1:3" ht="15" thickTop="1" x14ac:dyDescent="0.25"/>
  </sheetData>
  <mergeCells count="9">
    <mergeCell ref="A11:C12"/>
    <mergeCell ref="B13:C13"/>
    <mergeCell ref="B14:C14"/>
    <mergeCell ref="B15:C15"/>
    <mergeCell ref="A16:A17"/>
    <mergeCell ref="A1:C1"/>
    <mergeCell ref="A3:C4"/>
    <mergeCell ref="B5:C5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opLeftCell="A40" workbookViewId="0">
      <selection activeCell="Q39" sqref="Q39"/>
    </sheetView>
  </sheetViews>
  <sheetFormatPr defaultRowHeight="15" x14ac:dyDescent="0.25"/>
  <cols>
    <col min="1" max="1" width="8.42578125" customWidth="1"/>
    <col min="3" max="3" width="12" customWidth="1"/>
    <col min="4" max="4" width="12.5703125" customWidth="1"/>
    <col min="5" max="5" width="11.28515625" customWidth="1"/>
    <col min="7" max="7" width="10.85546875" customWidth="1"/>
    <col min="8" max="8" width="9.28515625" customWidth="1"/>
    <col min="10" max="10" width="11.42578125" customWidth="1"/>
    <col min="11" max="11" width="13" customWidth="1"/>
    <col min="12" max="12" width="13.42578125" customWidth="1"/>
    <col min="13" max="13" width="13.5703125" customWidth="1"/>
    <col min="14" max="14" width="13.42578125" customWidth="1"/>
    <col min="15" max="15" width="10.140625" customWidth="1"/>
    <col min="16" max="16" width="11" customWidth="1"/>
    <col min="17" max="17" width="12.5703125" customWidth="1"/>
    <col min="18" max="18" width="11.85546875" customWidth="1"/>
    <col min="19" max="19" width="10.5703125" customWidth="1"/>
  </cols>
  <sheetData>
    <row r="1" spans="1:23" ht="27.75" customHeight="1" thickBot="1" x14ac:dyDescent="0.3">
      <c r="A1" s="356" t="s">
        <v>284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129"/>
      <c r="U1" s="129"/>
      <c r="V1" s="356" t="s">
        <v>75</v>
      </c>
      <c r="W1" s="356"/>
    </row>
    <row r="2" spans="1:23" ht="36.75" customHeight="1" thickTop="1" thickBot="1" x14ac:dyDescent="0.3">
      <c r="A2" s="364" t="s">
        <v>64</v>
      </c>
      <c r="B2" s="366" t="s">
        <v>0</v>
      </c>
      <c r="C2" s="360" t="s">
        <v>5</v>
      </c>
      <c r="D2" s="360"/>
      <c r="E2" s="360" t="s">
        <v>65</v>
      </c>
      <c r="F2" s="357" t="s">
        <v>2</v>
      </c>
      <c r="G2" s="358"/>
      <c r="H2" s="358"/>
      <c r="I2" s="358"/>
      <c r="J2" s="359"/>
      <c r="K2" s="357" t="s">
        <v>13</v>
      </c>
      <c r="L2" s="358"/>
      <c r="M2" s="358"/>
      <c r="N2" s="358"/>
      <c r="O2" s="358"/>
      <c r="P2" s="358"/>
      <c r="Q2" s="358"/>
      <c r="R2" s="357" t="s">
        <v>66</v>
      </c>
      <c r="S2" s="358"/>
      <c r="T2" s="358"/>
      <c r="U2" s="358"/>
      <c r="V2" s="358"/>
      <c r="W2" s="359"/>
    </row>
    <row r="3" spans="1:23" ht="46.5" thickTop="1" thickBot="1" x14ac:dyDescent="0.3">
      <c r="A3" s="365"/>
      <c r="B3" s="367"/>
      <c r="C3" s="131" t="s">
        <v>3</v>
      </c>
      <c r="D3" s="131" t="s">
        <v>4</v>
      </c>
      <c r="E3" s="360"/>
      <c r="F3" s="131" t="s">
        <v>67</v>
      </c>
      <c r="G3" s="131" t="s">
        <v>1</v>
      </c>
      <c r="H3" s="131" t="s">
        <v>277</v>
      </c>
      <c r="I3" s="131" t="s">
        <v>278</v>
      </c>
      <c r="J3" s="131" t="s">
        <v>279</v>
      </c>
      <c r="K3" s="131" t="s">
        <v>271</v>
      </c>
      <c r="L3" s="131" t="s">
        <v>272</v>
      </c>
      <c r="M3" s="131" t="s">
        <v>273</v>
      </c>
      <c r="N3" s="130" t="s">
        <v>274</v>
      </c>
      <c r="O3" s="130" t="s">
        <v>379</v>
      </c>
      <c r="P3" s="130" t="s">
        <v>26</v>
      </c>
      <c r="Q3" s="130" t="s">
        <v>275</v>
      </c>
      <c r="R3" s="132" t="s">
        <v>6</v>
      </c>
      <c r="S3" s="132" t="s">
        <v>21</v>
      </c>
      <c r="T3" s="132" t="s">
        <v>280</v>
      </c>
      <c r="U3" s="132" t="s">
        <v>281</v>
      </c>
      <c r="V3" s="132" t="s">
        <v>20</v>
      </c>
      <c r="W3" s="132" t="s">
        <v>27</v>
      </c>
    </row>
    <row r="4" spans="1:23" ht="31.5" customHeight="1" thickTop="1" x14ac:dyDescent="0.25">
      <c r="A4" s="368" t="s">
        <v>127</v>
      </c>
      <c r="B4" s="279" t="s">
        <v>408</v>
      </c>
      <c r="C4" s="280">
        <v>44197</v>
      </c>
      <c r="D4" s="280">
        <v>44203</v>
      </c>
      <c r="E4" s="279">
        <v>33.630000000000003</v>
      </c>
      <c r="F4" s="146">
        <v>0</v>
      </c>
      <c r="G4" s="35">
        <f t="shared" ref="G4:G5" si="0">+F4*E4</f>
        <v>0</v>
      </c>
      <c r="H4" s="172">
        <v>0</v>
      </c>
      <c r="I4" s="172">
        <v>0</v>
      </c>
      <c r="J4" s="172">
        <f t="shared" ref="J4:J5" si="1">+I4+H4</f>
        <v>0</v>
      </c>
      <c r="K4" s="35">
        <v>1026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146">
        <f>+P4+O4+N4+K4</f>
        <v>1026</v>
      </c>
      <c r="R4" s="32" t="e">
        <f>+Q4/F4</f>
        <v>#DIV/0!</v>
      </c>
      <c r="S4" s="32" t="e">
        <f>+N4/F4</f>
        <v>#DIV/0!</v>
      </c>
      <c r="T4" s="173" t="e">
        <f>+L4/H4</f>
        <v>#DIV/0!</v>
      </c>
      <c r="U4" s="173" t="e">
        <f>+M4/I4</f>
        <v>#DIV/0!</v>
      </c>
      <c r="V4" s="32" t="e">
        <f>+K4/F4</f>
        <v>#DIV/0!</v>
      </c>
      <c r="W4" s="32" t="e">
        <f>+(O4+P4)/F4</f>
        <v>#DIV/0!</v>
      </c>
    </row>
    <row r="5" spans="1:23" ht="33.75" customHeight="1" thickBot="1" x14ac:dyDescent="0.3">
      <c r="A5" s="369"/>
      <c r="B5" s="342" t="s">
        <v>408</v>
      </c>
      <c r="C5" s="343">
        <v>44204</v>
      </c>
      <c r="D5" s="343">
        <v>44561</v>
      </c>
      <c r="E5" s="342">
        <v>33.630000000000003</v>
      </c>
      <c r="F5" s="147">
        <v>0</v>
      </c>
      <c r="G5" s="35">
        <f t="shared" si="0"/>
        <v>0</v>
      </c>
      <c r="H5" s="35">
        <v>0</v>
      </c>
      <c r="I5" s="35">
        <v>0</v>
      </c>
      <c r="J5" s="35">
        <f t="shared" si="1"/>
        <v>0</v>
      </c>
      <c r="K5" s="35">
        <f>11*1026</f>
        <v>11286</v>
      </c>
      <c r="L5" s="35">
        <v>0</v>
      </c>
      <c r="M5" s="35">
        <v>0</v>
      </c>
      <c r="N5" s="35">
        <f t="shared" ref="N5" si="2">+M5+L5</f>
        <v>0</v>
      </c>
      <c r="O5" s="35">
        <v>0</v>
      </c>
      <c r="P5" s="35">
        <v>0</v>
      </c>
      <c r="Q5" s="147">
        <f t="shared" ref="Q5" si="3">+P5+O5+N5+K5</f>
        <v>11286</v>
      </c>
      <c r="R5" s="36" t="e">
        <f t="shared" ref="R5:R6" si="4">+Q5/F5</f>
        <v>#DIV/0!</v>
      </c>
      <c r="S5" s="36" t="e">
        <f t="shared" ref="S5:S6" si="5">+N5/F5</f>
        <v>#DIV/0!</v>
      </c>
      <c r="T5" s="174" t="e">
        <f t="shared" ref="T5:U6" si="6">+L5/H5</f>
        <v>#DIV/0!</v>
      </c>
      <c r="U5" s="174" t="e">
        <f t="shared" si="6"/>
        <v>#DIV/0!</v>
      </c>
      <c r="V5" s="36" t="e">
        <f t="shared" ref="V5:V6" si="7">+K5/F5</f>
        <v>#DIV/0!</v>
      </c>
      <c r="W5" s="36" t="e">
        <f t="shared" ref="W5:W6" si="8">+(O5+P5)/F5</f>
        <v>#DIV/0!</v>
      </c>
    </row>
    <row r="6" spans="1:23" ht="16.5" thickTop="1" thickBot="1" x14ac:dyDescent="0.3">
      <c r="A6" s="361" t="s">
        <v>6</v>
      </c>
      <c r="B6" s="362"/>
      <c r="C6" s="362"/>
      <c r="D6" s="363"/>
      <c r="E6" s="49" t="s">
        <v>28</v>
      </c>
      <c r="F6" s="40">
        <f>SUM(F4:F5)</f>
        <v>0</v>
      </c>
      <c r="G6" s="40">
        <f t="shared" ref="G6:Q6" si="9">SUM(G4:G5)</f>
        <v>0</v>
      </c>
      <c r="H6" s="40">
        <f t="shared" si="9"/>
        <v>0</v>
      </c>
      <c r="I6" s="40">
        <f t="shared" si="9"/>
        <v>0</v>
      </c>
      <c r="J6" s="40">
        <f t="shared" si="9"/>
        <v>0</v>
      </c>
      <c r="K6" s="40">
        <f t="shared" si="9"/>
        <v>12312</v>
      </c>
      <c r="L6" s="40">
        <f t="shared" si="9"/>
        <v>0</v>
      </c>
      <c r="M6" s="40">
        <f t="shared" si="9"/>
        <v>0</v>
      </c>
      <c r="N6" s="40">
        <f t="shared" si="9"/>
        <v>0</v>
      </c>
      <c r="O6" s="40">
        <f t="shared" si="9"/>
        <v>0</v>
      </c>
      <c r="P6" s="40">
        <f t="shared" si="9"/>
        <v>0</v>
      </c>
      <c r="Q6" s="40">
        <f t="shared" si="9"/>
        <v>12312</v>
      </c>
      <c r="R6" s="41" t="e">
        <f t="shared" si="4"/>
        <v>#DIV/0!</v>
      </c>
      <c r="S6" s="41" t="e">
        <f t="shared" si="5"/>
        <v>#DIV/0!</v>
      </c>
      <c r="T6" s="175" t="e">
        <f t="shared" si="6"/>
        <v>#DIV/0!</v>
      </c>
      <c r="U6" s="175" t="e">
        <f t="shared" si="6"/>
        <v>#DIV/0!</v>
      </c>
      <c r="V6" s="41" t="e">
        <f t="shared" si="7"/>
        <v>#DIV/0!</v>
      </c>
      <c r="W6" s="41" t="e">
        <f t="shared" si="8"/>
        <v>#DIV/0!</v>
      </c>
    </row>
    <row r="7" spans="1:23" ht="33" thickTop="1" x14ac:dyDescent="0.25">
      <c r="A7" s="98" t="s">
        <v>86</v>
      </c>
      <c r="B7" s="355" t="s">
        <v>285</v>
      </c>
      <c r="C7" s="355"/>
      <c r="D7" s="355"/>
      <c r="E7" s="42" t="s">
        <v>180</v>
      </c>
      <c r="F7" s="43" t="s">
        <v>28</v>
      </c>
      <c r="G7" s="43"/>
      <c r="H7" s="43"/>
      <c r="I7" s="43"/>
      <c r="J7" s="43"/>
      <c r="K7" s="43" t="s">
        <v>177</v>
      </c>
      <c r="L7" s="371">
        <v>800000846583</v>
      </c>
      <c r="M7" s="371"/>
      <c r="N7" s="133"/>
      <c r="O7" s="370" t="s">
        <v>179</v>
      </c>
      <c r="P7" s="370"/>
      <c r="Q7" s="370"/>
      <c r="R7" s="370"/>
      <c r="S7" s="44"/>
      <c r="T7" s="44"/>
      <c r="U7" s="44"/>
      <c r="V7" s="44"/>
      <c r="W7" s="44"/>
    </row>
    <row r="8" spans="1:23" ht="15.75" thickBot="1" x14ac:dyDescent="0.3"/>
    <row r="9" spans="1:23" ht="32.25" customHeight="1" thickTop="1" thickBot="1" x14ac:dyDescent="0.3">
      <c r="A9" s="364" t="s">
        <v>64</v>
      </c>
      <c r="B9" s="366" t="s">
        <v>0</v>
      </c>
      <c r="C9" s="360" t="s">
        <v>5</v>
      </c>
      <c r="D9" s="360"/>
      <c r="E9" s="360" t="s">
        <v>65</v>
      </c>
      <c r="F9" s="357" t="s">
        <v>2</v>
      </c>
      <c r="G9" s="358"/>
      <c r="H9" s="358"/>
      <c r="I9" s="358"/>
      <c r="J9" s="359"/>
      <c r="K9" s="357" t="s">
        <v>13</v>
      </c>
      <c r="L9" s="358"/>
      <c r="M9" s="358"/>
      <c r="N9" s="358"/>
      <c r="O9" s="358"/>
      <c r="P9" s="358"/>
      <c r="Q9" s="358"/>
      <c r="R9" s="357" t="s">
        <v>66</v>
      </c>
      <c r="S9" s="358"/>
      <c r="T9" s="358"/>
      <c r="U9" s="358"/>
      <c r="V9" s="358"/>
      <c r="W9" s="359"/>
    </row>
    <row r="10" spans="1:23" ht="46.5" thickTop="1" thickBot="1" x14ac:dyDescent="0.3">
      <c r="A10" s="365"/>
      <c r="B10" s="367"/>
      <c r="C10" s="131" t="s">
        <v>3</v>
      </c>
      <c r="D10" s="131" t="s">
        <v>4</v>
      </c>
      <c r="E10" s="360"/>
      <c r="F10" s="131" t="s">
        <v>67</v>
      </c>
      <c r="G10" s="131" t="s">
        <v>1</v>
      </c>
      <c r="H10" s="131" t="s">
        <v>277</v>
      </c>
      <c r="I10" s="131" t="s">
        <v>278</v>
      </c>
      <c r="J10" s="131" t="s">
        <v>279</v>
      </c>
      <c r="K10" s="131" t="s">
        <v>271</v>
      </c>
      <c r="L10" s="131" t="s">
        <v>272</v>
      </c>
      <c r="M10" s="131" t="s">
        <v>273</v>
      </c>
      <c r="N10" s="130" t="s">
        <v>274</v>
      </c>
      <c r="O10" s="130" t="s">
        <v>379</v>
      </c>
      <c r="P10" s="130" t="s">
        <v>26</v>
      </c>
      <c r="Q10" s="130" t="s">
        <v>275</v>
      </c>
      <c r="R10" s="132" t="s">
        <v>6</v>
      </c>
      <c r="S10" s="132" t="s">
        <v>21</v>
      </c>
      <c r="T10" s="132" t="s">
        <v>280</v>
      </c>
      <c r="U10" s="132" t="s">
        <v>281</v>
      </c>
      <c r="V10" s="132" t="s">
        <v>20</v>
      </c>
      <c r="W10" s="132" t="s">
        <v>27</v>
      </c>
    </row>
    <row r="11" spans="1:23" ht="15.75" thickTop="1" x14ac:dyDescent="0.25">
      <c r="A11" s="368" t="s">
        <v>289</v>
      </c>
      <c r="B11" s="287">
        <v>1</v>
      </c>
      <c r="C11" s="176">
        <v>44197</v>
      </c>
      <c r="D11" s="176">
        <v>44236</v>
      </c>
      <c r="E11" s="287">
        <v>33.700000000000003</v>
      </c>
      <c r="F11" s="146">
        <v>429</v>
      </c>
      <c r="G11" s="35">
        <f t="shared" ref="G11:G22" si="10">+F11*E11</f>
        <v>14457.300000000001</v>
      </c>
      <c r="H11" s="172">
        <v>9373</v>
      </c>
      <c r="I11" s="172">
        <v>5084</v>
      </c>
      <c r="J11" s="172">
        <f t="shared" ref="J11:J22" si="11">+I11+H11</f>
        <v>14457</v>
      </c>
      <c r="K11" s="35">
        <v>1026</v>
      </c>
      <c r="L11" s="31">
        <v>28203</v>
      </c>
      <c r="M11" s="31">
        <v>17164</v>
      </c>
      <c r="N11" s="31">
        <f>+M11+L11</f>
        <v>45367</v>
      </c>
      <c r="O11" s="31">
        <v>1351</v>
      </c>
      <c r="P11" s="31">
        <v>1144</v>
      </c>
      <c r="Q11" s="146">
        <f>+P11+O11+N11+K11</f>
        <v>48888</v>
      </c>
      <c r="R11" s="32">
        <f>+Q11/F11</f>
        <v>113.95804195804196</v>
      </c>
      <c r="S11" s="32">
        <f>+N11/F11</f>
        <v>105.75058275058275</v>
      </c>
      <c r="T11" s="173">
        <f>+L11/H11</f>
        <v>3.0089619118745334</v>
      </c>
      <c r="U11" s="173">
        <f>+M11/I11</f>
        <v>3.3760818253343823</v>
      </c>
      <c r="V11" s="32">
        <f>+K11/F11</f>
        <v>2.3916083916083917</v>
      </c>
      <c r="W11" s="32">
        <f>+(O11+P11)/F11</f>
        <v>5.8158508158508155</v>
      </c>
    </row>
    <row r="12" spans="1:23" x14ac:dyDescent="0.25">
      <c r="A12" s="369"/>
      <c r="B12" s="192">
        <v>2</v>
      </c>
      <c r="C12" s="162">
        <v>44237</v>
      </c>
      <c r="D12" s="162">
        <v>44264</v>
      </c>
      <c r="E12" s="192">
        <v>33.700000000000003</v>
      </c>
      <c r="F12" s="147">
        <v>283</v>
      </c>
      <c r="G12" s="35">
        <f t="shared" si="10"/>
        <v>9537.1</v>
      </c>
      <c r="H12" s="35">
        <v>6220</v>
      </c>
      <c r="I12" s="35">
        <v>3317</v>
      </c>
      <c r="J12" s="35">
        <f t="shared" si="11"/>
        <v>9537</v>
      </c>
      <c r="K12" s="35">
        <v>1026</v>
      </c>
      <c r="L12" s="35">
        <v>18716</v>
      </c>
      <c r="M12" s="35">
        <v>11198</v>
      </c>
      <c r="N12" s="35">
        <f>+M12+L12</f>
        <v>29914</v>
      </c>
      <c r="O12" s="35">
        <v>892</v>
      </c>
      <c r="P12" s="35">
        <v>755</v>
      </c>
      <c r="Q12" s="147">
        <f t="shared" ref="Q12:Q22" si="12">+P12+O12+N12+K12</f>
        <v>32587</v>
      </c>
      <c r="R12" s="36">
        <f t="shared" ref="R12:R23" si="13">+Q12/F12</f>
        <v>115.14840989399293</v>
      </c>
      <c r="S12" s="36">
        <f t="shared" ref="S12:S23" si="14">+N12/F12</f>
        <v>105.70318021201413</v>
      </c>
      <c r="T12" s="174">
        <f t="shared" ref="T12:T23" si="15">+L12/H12</f>
        <v>3.0090032154340838</v>
      </c>
      <c r="U12" s="174">
        <f t="shared" ref="U12:U23" si="16">+M12/I12</f>
        <v>3.3759421163702141</v>
      </c>
      <c r="V12" s="36">
        <f t="shared" ref="V12:V23" si="17">+K12/F12</f>
        <v>3.6254416961130742</v>
      </c>
      <c r="W12" s="36">
        <f t="shared" ref="W12:W23" si="18">+(O12+P12)/F12</f>
        <v>5.819787985865724</v>
      </c>
    </row>
    <row r="13" spans="1:23" x14ac:dyDescent="0.25">
      <c r="A13" s="369"/>
      <c r="B13" s="192">
        <v>3</v>
      </c>
      <c r="C13" s="162">
        <v>44265</v>
      </c>
      <c r="D13" s="162">
        <v>44295</v>
      </c>
      <c r="E13" s="192">
        <v>33.700000000000003</v>
      </c>
      <c r="F13" s="147">
        <v>211</v>
      </c>
      <c r="G13" s="35">
        <f t="shared" si="10"/>
        <v>7110.7000000000007</v>
      </c>
      <c r="H13" s="35">
        <v>5016</v>
      </c>
      <c r="I13" s="35">
        <v>2095</v>
      </c>
      <c r="J13" s="35">
        <f t="shared" si="11"/>
        <v>7111</v>
      </c>
      <c r="K13" s="35">
        <v>1026</v>
      </c>
      <c r="L13" s="35">
        <v>15093</v>
      </c>
      <c r="M13" s="35">
        <v>7073</v>
      </c>
      <c r="N13" s="35">
        <f t="shared" ref="N13:N22" si="19">+M13+L13</f>
        <v>22166</v>
      </c>
      <c r="O13" s="35">
        <v>665</v>
      </c>
      <c r="P13" s="35">
        <v>562</v>
      </c>
      <c r="Q13" s="147">
        <f t="shared" si="12"/>
        <v>24419</v>
      </c>
      <c r="R13" s="36">
        <f t="shared" si="13"/>
        <v>115.72985781990522</v>
      </c>
      <c r="S13" s="36">
        <f t="shared" si="14"/>
        <v>105.0521327014218</v>
      </c>
      <c r="T13" s="174">
        <f t="shared" si="15"/>
        <v>3.0089712918660285</v>
      </c>
      <c r="U13" s="174">
        <f t="shared" si="16"/>
        <v>3.3761336515513127</v>
      </c>
      <c r="V13" s="36">
        <f t="shared" si="17"/>
        <v>4.8625592417061609</v>
      </c>
      <c r="W13" s="36">
        <f t="shared" si="18"/>
        <v>5.8151658767772512</v>
      </c>
    </row>
    <row r="14" spans="1:23" x14ac:dyDescent="0.25">
      <c r="A14" s="369"/>
      <c r="B14" s="192">
        <v>4</v>
      </c>
      <c r="C14" s="162">
        <v>44296</v>
      </c>
      <c r="D14" s="162">
        <v>44325</v>
      </c>
      <c r="E14" s="192">
        <v>33.700000000000003</v>
      </c>
      <c r="F14" s="147">
        <v>86</v>
      </c>
      <c r="G14" s="35">
        <f t="shared" si="10"/>
        <v>2898.2000000000003</v>
      </c>
      <c r="H14" s="35">
        <v>1985</v>
      </c>
      <c r="I14" s="35">
        <v>913</v>
      </c>
      <c r="J14" s="35">
        <f t="shared" si="11"/>
        <v>2898</v>
      </c>
      <c r="K14" s="35">
        <v>1026</v>
      </c>
      <c r="L14" s="35">
        <v>5973</v>
      </c>
      <c r="M14" s="35">
        <v>3082</v>
      </c>
      <c r="N14" s="35">
        <f t="shared" si="19"/>
        <v>9055</v>
      </c>
      <c r="O14" s="35">
        <v>271</v>
      </c>
      <c r="P14" s="35">
        <v>229</v>
      </c>
      <c r="Q14" s="147">
        <f t="shared" si="12"/>
        <v>10581</v>
      </c>
      <c r="R14" s="36">
        <f t="shared" si="13"/>
        <v>123.03488372093024</v>
      </c>
      <c r="S14" s="36">
        <f t="shared" si="14"/>
        <v>105.29069767441861</v>
      </c>
      <c r="T14" s="174">
        <f t="shared" si="15"/>
        <v>3.0090680100755667</v>
      </c>
      <c r="U14" s="174">
        <f t="shared" si="16"/>
        <v>3.3756845564074478</v>
      </c>
      <c r="V14" s="36">
        <f t="shared" si="17"/>
        <v>11.930232558139535</v>
      </c>
      <c r="W14" s="36">
        <f t="shared" si="18"/>
        <v>5.8139534883720927</v>
      </c>
    </row>
    <row r="15" spans="1:23" x14ac:dyDescent="0.25">
      <c r="A15" s="369"/>
      <c r="B15" s="192">
        <v>5</v>
      </c>
      <c r="C15" s="162">
        <v>44326</v>
      </c>
      <c r="D15" s="162">
        <v>44356</v>
      </c>
      <c r="E15" s="192">
        <v>33.700000000000003</v>
      </c>
      <c r="F15" s="147">
        <v>24</v>
      </c>
      <c r="G15" s="35">
        <f t="shared" si="10"/>
        <v>808.80000000000007</v>
      </c>
      <c r="H15" s="35">
        <v>553</v>
      </c>
      <c r="I15" s="35">
        <v>256</v>
      </c>
      <c r="J15" s="35">
        <f t="shared" si="11"/>
        <v>809</v>
      </c>
      <c r="K15" s="35">
        <v>1026</v>
      </c>
      <c r="L15" s="35">
        <v>1664</v>
      </c>
      <c r="M15" s="35">
        <v>864</v>
      </c>
      <c r="N15" s="35">
        <f t="shared" si="19"/>
        <v>2528</v>
      </c>
      <c r="O15" s="35">
        <v>76</v>
      </c>
      <c r="P15" s="35">
        <v>64</v>
      </c>
      <c r="Q15" s="147">
        <f t="shared" si="12"/>
        <v>3694</v>
      </c>
      <c r="R15" s="36">
        <f t="shared" si="13"/>
        <v>153.91666666666666</v>
      </c>
      <c r="S15" s="36">
        <f t="shared" si="14"/>
        <v>105.33333333333333</v>
      </c>
      <c r="T15" s="174">
        <f t="shared" si="15"/>
        <v>3.0090415913200723</v>
      </c>
      <c r="U15" s="174">
        <f t="shared" si="16"/>
        <v>3.375</v>
      </c>
      <c r="V15" s="36">
        <f t="shared" si="17"/>
        <v>42.75</v>
      </c>
      <c r="W15" s="36">
        <f t="shared" si="18"/>
        <v>5.833333333333333</v>
      </c>
    </row>
    <row r="16" spans="1:23" x14ac:dyDescent="0.25">
      <c r="A16" s="369"/>
      <c r="B16" s="192">
        <v>6</v>
      </c>
      <c r="C16" s="162">
        <v>44357</v>
      </c>
      <c r="D16" s="162">
        <v>44417</v>
      </c>
      <c r="E16" s="192">
        <v>33.700000000000003</v>
      </c>
      <c r="F16" s="147">
        <f>17+18</f>
        <v>35</v>
      </c>
      <c r="G16" s="35">
        <f t="shared" si="10"/>
        <v>1179.5</v>
      </c>
      <c r="H16" s="35">
        <v>724</v>
      </c>
      <c r="I16" s="35">
        <v>456</v>
      </c>
      <c r="J16" s="35">
        <f t="shared" si="11"/>
        <v>1180</v>
      </c>
      <c r="K16" s="35">
        <f>2*1026</f>
        <v>2052</v>
      </c>
      <c r="L16" s="35">
        <v>2179</v>
      </c>
      <c r="M16" s="35">
        <v>1539</v>
      </c>
      <c r="N16" s="35">
        <f t="shared" si="19"/>
        <v>3718</v>
      </c>
      <c r="O16" s="35">
        <v>110</v>
      </c>
      <c r="P16" s="35">
        <v>93</v>
      </c>
      <c r="Q16" s="147">
        <f t="shared" si="12"/>
        <v>5973</v>
      </c>
      <c r="R16" s="36">
        <f t="shared" si="13"/>
        <v>170.65714285714284</v>
      </c>
      <c r="S16" s="36">
        <f t="shared" si="14"/>
        <v>106.22857142857143</v>
      </c>
      <c r="T16" s="174">
        <f t="shared" si="15"/>
        <v>3.0096685082872927</v>
      </c>
      <c r="U16" s="174">
        <f t="shared" si="16"/>
        <v>3.375</v>
      </c>
      <c r="V16" s="36">
        <f t="shared" si="17"/>
        <v>58.628571428571426</v>
      </c>
      <c r="W16" s="36">
        <f t="shared" si="18"/>
        <v>5.8</v>
      </c>
    </row>
    <row r="17" spans="1:23" x14ac:dyDescent="0.25">
      <c r="A17" s="369"/>
      <c r="B17" s="192">
        <v>7</v>
      </c>
      <c r="C17" s="162">
        <v>44418</v>
      </c>
      <c r="D17" s="162">
        <v>44478</v>
      </c>
      <c r="E17" s="192">
        <v>33.700000000000003</v>
      </c>
      <c r="F17" s="147">
        <f>69+18</f>
        <v>87</v>
      </c>
      <c r="G17" s="35">
        <f t="shared" si="10"/>
        <v>2931.9</v>
      </c>
      <c r="H17" s="35">
        <v>2034</v>
      </c>
      <c r="I17" s="35">
        <v>898</v>
      </c>
      <c r="J17" s="35">
        <f t="shared" si="11"/>
        <v>2932</v>
      </c>
      <c r="K17" s="35">
        <v>2052</v>
      </c>
      <c r="L17" s="35">
        <v>6120</v>
      </c>
      <c r="M17" s="35">
        <v>3032</v>
      </c>
      <c r="N17" s="35">
        <f t="shared" si="19"/>
        <v>9152</v>
      </c>
      <c r="O17" s="35">
        <v>274</v>
      </c>
      <c r="P17" s="35">
        <v>232</v>
      </c>
      <c r="Q17" s="147">
        <f t="shared" si="12"/>
        <v>11710</v>
      </c>
      <c r="R17" s="36">
        <f t="shared" si="13"/>
        <v>134.59770114942529</v>
      </c>
      <c r="S17" s="36">
        <f t="shared" si="14"/>
        <v>105.19540229885058</v>
      </c>
      <c r="T17" s="174">
        <f t="shared" si="15"/>
        <v>3.0088495575221237</v>
      </c>
      <c r="U17" s="174">
        <f t="shared" si="16"/>
        <v>3.376391982182628</v>
      </c>
      <c r="V17" s="36">
        <f t="shared" si="17"/>
        <v>23.586206896551722</v>
      </c>
      <c r="W17" s="36">
        <f t="shared" si="18"/>
        <v>5.8160919540229887</v>
      </c>
    </row>
    <row r="18" spans="1:23" x14ac:dyDescent="0.25">
      <c r="A18" s="369"/>
      <c r="B18" s="192">
        <v>8</v>
      </c>
      <c r="C18" s="162">
        <v>44479</v>
      </c>
      <c r="D18" s="162">
        <v>44509</v>
      </c>
      <c r="E18" s="192">
        <v>33.700000000000003</v>
      </c>
      <c r="F18" s="147">
        <v>181</v>
      </c>
      <c r="G18" s="35">
        <f t="shared" si="10"/>
        <v>6099.7000000000007</v>
      </c>
      <c r="H18" s="35">
        <v>3740</v>
      </c>
      <c r="I18" s="35">
        <v>2360</v>
      </c>
      <c r="J18" s="35">
        <f t="shared" si="11"/>
        <v>6100</v>
      </c>
      <c r="K18" s="35">
        <v>1026</v>
      </c>
      <c r="L18" s="35">
        <v>11254</v>
      </c>
      <c r="M18" s="35">
        <v>7967</v>
      </c>
      <c r="N18" s="35">
        <f t="shared" si="19"/>
        <v>19221</v>
      </c>
      <c r="O18" s="35">
        <v>570</v>
      </c>
      <c r="P18" s="35">
        <v>483</v>
      </c>
      <c r="Q18" s="147">
        <f t="shared" si="12"/>
        <v>21300</v>
      </c>
      <c r="R18" s="36">
        <f t="shared" si="13"/>
        <v>117.67955801104972</v>
      </c>
      <c r="S18" s="36">
        <f t="shared" si="14"/>
        <v>106.19337016574586</v>
      </c>
      <c r="T18" s="174">
        <f t="shared" si="15"/>
        <v>3.0090909090909093</v>
      </c>
      <c r="U18" s="174">
        <f t="shared" si="16"/>
        <v>3.3758474576271187</v>
      </c>
      <c r="V18" s="36">
        <f t="shared" si="17"/>
        <v>5.6685082872928181</v>
      </c>
      <c r="W18" s="36">
        <f t="shared" si="18"/>
        <v>5.8176795580110499</v>
      </c>
    </row>
    <row r="19" spans="1:23" x14ac:dyDescent="0.25">
      <c r="A19" s="369"/>
      <c r="B19" s="192">
        <v>9</v>
      </c>
      <c r="C19" s="162">
        <v>44510</v>
      </c>
      <c r="D19" s="162">
        <v>44539</v>
      </c>
      <c r="E19" s="192">
        <v>33.700000000000003</v>
      </c>
      <c r="F19" s="147">
        <v>268</v>
      </c>
      <c r="G19" s="35">
        <f t="shared" si="10"/>
        <v>9031.6</v>
      </c>
      <c r="H19" s="35">
        <v>5506</v>
      </c>
      <c r="I19" s="35">
        <v>3526</v>
      </c>
      <c r="J19" s="35">
        <f t="shared" si="11"/>
        <v>9032</v>
      </c>
      <c r="K19" s="35">
        <v>1026</v>
      </c>
      <c r="L19" s="35">
        <v>16568</v>
      </c>
      <c r="M19" s="35">
        <v>11904</v>
      </c>
      <c r="N19" s="35">
        <f t="shared" si="19"/>
        <v>28472</v>
      </c>
      <c r="O19" s="35">
        <v>845</v>
      </c>
      <c r="P19" s="35">
        <v>715</v>
      </c>
      <c r="Q19" s="147">
        <f t="shared" si="12"/>
        <v>31058</v>
      </c>
      <c r="R19" s="36">
        <f t="shared" si="13"/>
        <v>115.88805970149254</v>
      </c>
      <c r="S19" s="36">
        <f t="shared" si="14"/>
        <v>106.23880597014926</v>
      </c>
      <c r="T19" s="174">
        <f t="shared" si="15"/>
        <v>3.0090810025426808</v>
      </c>
      <c r="U19" s="174">
        <f t="shared" si="16"/>
        <v>3.3760635280771414</v>
      </c>
      <c r="V19" s="36">
        <f t="shared" si="17"/>
        <v>3.8283582089552239</v>
      </c>
      <c r="W19" s="36">
        <f t="shared" si="18"/>
        <v>5.8208955223880601</v>
      </c>
    </row>
    <row r="20" spans="1:23" x14ac:dyDescent="0.25">
      <c r="A20" s="369"/>
      <c r="B20" s="192">
        <v>10</v>
      </c>
      <c r="C20" s="162"/>
      <c r="D20" s="162"/>
      <c r="E20" s="192"/>
      <c r="F20" s="147"/>
      <c r="G20" s="35">
        <f t="shared" si="10"/>
        <v>0</v>
      </c>
      <c r="H20" s="35"/>
      <c r="I20" s="35"/>
      <c r="J20" s="35">
        <f t="shared" si="11"/>
        <v>0</v>
      </c>
      <c r="K20" s="35"/>
      <c r="L20" s="35"/>
      <c r="M20" s="35"/>
      <c r="N20" s="35">
        <f t="shared" si="19"/>
        <v>0</v>
      </c>
      <c r="O20" s="35"/>
      <c r="P20" s="35"/>
      <c r="Q20" s="147">
        <f t="shared" si="12"/>
        <v>0</v>
      </c>
      <c r="R20" s="36" t="e">
        <f t="shared" si="13"/>
        <v>#DIV/0!</v>
      </c>
      <c r="S20" s="36" t="e">
        <f t="shared" si="14"/>
        <v>#DIV/0!</v>
      </c>
      <c r="T20" s="174" t="e">
        <f t="shared" si="15"/>
        <v>#DIV/0!</v>
      </c>
      <c r="U20" s="174" t="e">
        <f t="shared" si="16"/>
        <v>#DIV/0!</v>
      </c>
      <c r="V20" s="36" t="e">
        <f t="shared" si="17"/>
        <v>#DIV/0!</v>
      </c>
      <c r="W20" s="36" t="e">
        <f t="shared" si="18"/>
        <v>#DIV/0!</v>
      </c>
    </row>
    <row r="21" spans="1:23" x14ac:dyDescent="0.25">
      <c r="A21" s="369"/>
      <c r="B21" s="192">
        <v>11</v>
      </c>
      <c r="C21" s="162">
        <v>44552</v>
      </c>
      <c r="D21" s="162">
        <v>44561</v>
      </c>
      <c r="E21" s="192">
        <v>33.590000000000003</v>
      </c>
      <c r="F21" s="147">
        <v>12</v>
      </c>
      <c r="G21" s="35">
        <f t="shared" si="10"/>
        <v>403.08000000000004</v>
      </c>
      <c r="H21" s="35">
        <v>403</v>
      </c>
      <c r="I21" s="35">
        <v>0</v>
      </c>
      <c r="J21" s="35">
        <f t="shared" si="11"/>
        <v>403</v>
      </c>
      <c r="K21" s="35">
        <v>0</v>
      </c>
      <c r="L21" s="35">
        <v>1213</v>
      </c>
      <c r="M21" s="35">
        <v>0</v>
      </c>
      <c r="N21" s="35">
        <f t="shared" si="19"/>
        <v>1213</v>
      </c>
      <c r="O21" s="35">
        <v>38</v>
      </c>
      <c r="P21" s="35">
        <v>32</v>
      </c>
      <c r="Q21" s="147">
        <f t="shared" si="12"/>
        <v>1283</v>
      </c>
      <c r="R21" s="36">
        <f t="shared" si="13"/>
        <v>106.91666666666667</v>
      </c>
      <c r="S21" s="36">
        <f t="shared" si="14"/>
        <v>101.08333333333333</v>
      </c>
      <c r="T21" s="174">
        <f t="shared" si="15"/>
        <v>3.0099255583126552</v>
      </c>
      <c r="U21" s="174" t="e">
        <f t="shared" si="16"/>
        <v>#DIV/0!</v>
      </c>
      <c r="V21" s="36">
        <f t="shared" si="17"/>
        <v>0</v>
      </c>
      <c r="W21" s="36">
        <f t="shared" si="18"/>
        <v>5.833333333333333</v>
      </c>
    </row>
    <row r="22" spans="1:23" ht="15.75" thickBot="1" x14ac:dyDescent="0.3">
      <c r="A22" s="369"/>
      <c r="B22" s="192"/>
      <c r="C22" s="162"/>
      <c r="D22" s="162"/>
      <c r="E22" s="192"/>
      <c r="F22" s="147"/>
      <c r="G22" s="35">
        <f t="shared" si="10"/>
        <v>0</v>
      </c>
      <c r="H22" s="35"/>
      <c r="I22" s="35"/>
      <c r="J22" s="35">
        <f t="shared" si="11"/>
        <v>0</v>
      </c>
      <c r="K22" s="35"/>
      <c r="L22" s="35"/>
      <c r="M22" s="35"/>
      <c r="N22" s="35">
        <f t="shared" si="19"/>
        <v>0</v>
      </c>
      <c r="O22" s="35"/>
      <c r="P22" s="35"/>
      <c r="Q22" s="147">
        <f t="shared" si="12"/>
        <v>0</v>
      </c>
      <c r="R22" s="36" t="e">
        <f t="shared" si="13"/>
        <v>#DIV/0!</v>
      </c>
      <c r="S22" s="36" t="e">
        <f t="shared" si="14"/>
        <v>#DIV/0!</v>
      </c>
      <c r="T22" s="174" t="e">
        <f t="shared" si="15"/>
        <v>#DIV/0!</v>
      </c>
      <c r="U22" s="174" t="e">
        <f t="shared" si="16"/>
        <v>#DIV/0!</v>
      </c>
      <c r="V22" s="36" t="e">
        <f t="shared" si="17"/>
        <v>#DIV/0!</v>
      </c>
      <c r="W22" s="36" t="e">
        <f t="shared" si="18"/>
        <v>#DIV/0!</v>
      </c>
    </row>
    <row r="23" spans="1:23" ht="16.5" thickTop="1" thickBot="1" x14ac:dyDescent="0.3">
      <c r="A23" s="361" t="s">
        <v>6</v>
      </c>
      <c r="B23" s="362"/>
      <c r="C23" s="362"/>
      <c r="D23" s="363"/>
      <c r="E23" s="49" t="s">
        <v>28</v>
      </c>
      <c r="F23" s="40">
        <f>SUM(F11:F22)</f>
        <v>1616</v>
      </c>
      <c r="G23" s="40">
        <f t="shared" ref="G23:Q23" si="20">SUM(G11:G22)</f>
        <v>54457.880000000012</v>
      </c>
      <c r="H23" s="40">
        <f t="shared" si="20"/>
        <v>35554</v>
      </c>
      <c r="I23" s="40">
        <f t="shared" si="20"/>
        <v>18905</v>
      </c>
      <c r="J23" s="40">
        <f t="shared" si="20"/>
        <v>54459</v>
      </c>
      <c r="K23" s="40">
        <f t="shared" si="20"/>
        <v>11286</v>
      </c>
      <c r="L23" s="40">
        <f t="shared" si="20"/>
        <v>106983</v>
      </c>
      <c r="M23" s="40">
        <f t="shared" si="20"/>
        <v>63823</v>
      </c>
      <c r="N23" s="40">
        <f t="shared" si="20"/>
        <v>170806</v>
      </c>
      <c r="O23" s="40">
        <f t="shared" si="20"/>
        <v>5092</v>
      </c>
      <c r="P23" s="40">
        <f t="shared" si="20"/>
        <v>4309</v>
      </c>
      <c r="Q23" s="40">
        <f t="shared" si="20"/>
        <v>191493</v>
      </c>
      <c r="R23" s="41">
        <f t="shared" si="13"/>
        <v>118.49814356435644</v>
      </c>
      <c r="S23" s="41">
        <f t="shared" si="14"/>
        <v>105.69678217821782</v>
      </c>
      <c r="T23" s="175">
        <f t="shared" si="15"/>
        <v>3.00902851999775</v>
      </c>
      <c r="U23" s="175">
        <f t="shared" si="16"/>
        <v>3.3759851891034116</v>
      </c>
      <c r="V23" s="41">
        <f t="shared" si="17"/>
        <v>6.983910891089109</v>
      </c>
      <c r="W23" s="41">
        <f t="shared" si="18"/>
        <v>5.8174504950495045</v>
      </c>
    </row>
    <row r="24" spans="1:23" ht="33" thickTop="1" x14ac:dyDescent="0.25">
      <c r="A24" s="98" t="s">
        <v>86</v>
      </c>
      <c r="B24" s="355" t="s">
        <v>288</v>
      </c>
      <c r="C24" s="355"/>
      <c r="D24" s="355"/>
      <c r="E24" s="42" t="s">
        <v>180</v>
      </c>
      <c r="F24" s="43" t="s">
        <v>28</v>
      </c>
      <c r="G24" s="43"/>
      <c r="H24" s="43"/>
      <c r="I24" s="43"/>
      <c r="J24" s="43"/>
      <c r="K24" s="43" t="s">
        <v>177</v>
      </c>
      <c r="L24" s="371">
        <v>11214185</v>
      </c>
      <c r="M24" s="371"/>
      <c r="N24" s="133"/>
      <c r="O24" s="370" t="s">
        <v>179</v>
      </c>
      <c r="P24" s="370"/>
      <c r="Q24" s="370"/>
      <c r="R24" s="370"/>
      <c r="S24" s="44"/>
      <c r="T24" s="44"/>
      <c r="U24" s="44"/>
      <c r="V24" s="44"/>
      <c r="W24" s="44"/>
    </row>
    <row r="25" spans="1:23" ht="15.75" thickBot="1" x14ac:dyDescent="0.3"/>
    <row r="26" spans="1:23" ht="38.25" customHeight="1" thickTop="1" thickBot="1" x14ac:dyDescent="0.3">
      <c r="A26" s="364" t="s">
        <v>64</v>
      </c>
      <c r="B26" s="366" t="s">
        <v>0</v>
      </c>
      <c r="C26" s="360" t="s">
        <v>5</v>
      </c>
      <c r="D26" s="360"/>
      <c r="E26" s="360" t="s">
        <v>65</v>
      </c>
      <c r="F26" s="357" t="s">
        <v>2</v>
      </c>
      <c r="G26" s="358"/>
      <c r="H26" s="358"/>
      <c r="I26" s="358"/>
      <c r="J26" s="359"/>
      <c r="K26" s="357" t="s">
        <v>13</v>
      </c>
      <c r="L26" s="358"/>
      <c r="M26" s="358"/>
      <c r="N26" s="358"/>
      <c r="O26" s="358"/>
      <c r="P26" s="358"/>
      <c r="Q26" s="358"/>
      <c r="R26" s="357" t="s">
        <v>66</v>
      </c>
      <c r="S26" s="358"/>
      <c r="T26" s="358"/>
      <c r="U26" s="358"/>
      <c r="V26" s="358"/>
      <c r="W26" s="359"/>
    </row>
    <row r="27" spans="1:23" ht="46.5" thickTop="1" thickBot="1" x14ac:dyDescent="0.3">
      <c r="A27" s="365"/>
      <c r="B27" s="367"/>
      <c r="C27" s="131" t="s">
        <v>3</v>
      </c>
      <c r="D27" s="131" t="s">
        <v>4</v>
      </c>
      <c r="E27" s="360"/>
      <c r="F27" s="131" t="s">
        <v>67</v>
      </c>
      <c r="G27" s="131" t="s">
        <v>1</v>
      </c>
      <c r="H27" s="131" t="s">
        <v>277</v>
      </c>
      <c r="I27" s="131" t="s">
        <v>278</v>
      </c>
      <c r="J27" s="131" t="s">
        <v>279</v>
      </c>
      <c r="K27" s="131" t="s">
        <v>271</v>
      </c>
      <c r="L27" s="131" t="s">
        <v>272</v>
      </c>
      <c r="M27" s="131" t="s">
        <v>273</v>
      </c>
      <c r="N27" s="130" t="s">
        <v>274</v>
      </c>
      <c r="O27" s="130" t="s">
        <v>379</v>
      </c>
      <c r="P27" s="130" t="s">
        <v>26</v>
      </c>
      <c r="Q27" s="130" t="s">
        <v>275</v>
      </c>
      <c r="R27" s="132" t="s">
        <v>6</v>
      </c>
      <c r="S27" s="132" t="s">
        <v>21</v>
      </c>
      <c r="T27" s="132" t="s">
        <v>280</v>
      </c>
      <c r="U27" s="132" t="s">
        <v>281</v>
      </c>
      <c r="V27" s="132" t="s">
        <v>20</v>
      </c>
      <c r="W27" s="132" t="s">
        <v>27</v>
      </c>
    </row>
    <row r="28" spans="1:23" ht="15.75" thickTop="1" x14ac:dyDescent="0.25">
      <c r="A28" s="368" t="s">
        <v>291</v>
      </c>
      <c r="B28" s="279" t="s">
        <v>103</v>
      </c>
      <c r="C28" s="280">
        <v>44197</v>
      </c>
      <c r="D28" s="280">
        <v>44225</v>
      </c>
      <c r="E28" s="279">
        <v>33.86</v>
      </c>
      <c r="F28" s="146">
        <v>0</v>
      </c>
      <c r="G28" s="35">
        <f t="shared" ref="G28:G39" si="21">+F28*E28</f>
        <v>0</v>
      </c>
      <c r="H28" s="172">
        <v>0</v>
      </c>
      <c r="I28" s="172">
        <v>0</v>
      </c>
      <c r="J28" s="172">
        <f t="shared" ref="J28:J39" si="22">+I28+H28</f>
        <v>0</v>
      </c>
      <c r="K28" s="35">
        <v>1026</v>
      </c>
      <c r="L28" s="31">
        <v>0</v>
      </c>
      <c r="M28" s="31">
        <v>0</v>
      </c>
      <c r="N28" s="31">
        <f>+M28+L28</f>
        <v>0</v>
      </c>
      <c r="O28" s="31">
        <v>0</v>
      </c>
      <c r="P28" s="31">
        <v>0</v>
      </c>
      <c r="Q28" s="146">
        <f>+P28+O28+N28+K28</f>
        <v>1026</v>
      </c>
      <c r="R28" s="32" t="e">
        <f>+Q28/F28</f>
        <v>#DIV/0!</v>
      </c>
      <c r="S28" s="32" t="e">
        <f>+N28/F28</f>
        <v>#DIV/0!</v>
      </c>
      <c r="T28" s="173" t="e">
        <f>+L28/H28</f>
        <v>#DIV/0!</v>
      </c>
      <c r="U28" s="173" t="e">
        <f>+M28/I28</f>
        <v>#DIV/0!</v>
      </c>
      <c r="V28" s="32" t="e">
        <f>+K28/F28</f>
        <v>#DIV/0!</v>
      </c>
      <c r="W28" s="32" t="e">
        <f>+(O28+P28)/F28</f>
        <v>#DIV/0!</v>
      </c>
    </row>
    <row r="29" spans="1:23" x14ac:dyDescent="0.25">
      <c r="A29" s="369"/>
      <c r="B29" s="192" t="s">
        <v>410</v>
      </c>
      <c r="C29" s="162">
        <v>44226</v>
      </c>
      <c r="D29" s="162">
        <v>44251</v>
      </c>
      <c r="E29" s="192">
        <v>33.840000000000003</v>
      </c>
      <c r="F29" s="147">
        <v>935.19</v>
      </c>
      <c r="G29" s="35">
        <f t="shared" si="21"/>
        <v>31646.829600000005</v>
      </c>
      <c r="H29" s="35">
        <f>5773+6887</f>
        <v>12660</v>
      </c>
      <c r="I29" s="35">
        <f>25874-6887</f>
        <v>18987</v>
      </c>
      <c r="J29" s="35">
        <f t="shared" si="22"/>
        <v>31647</v>
      </c>
      <c r="K29" s="35">
        <v>1026</v>
      </c>
      <c r="L29" s="35">
        <f>17371+20723</f>
        <v>38094</v>
      </c>
      <c r="M29" s="35">
        <f>87351-23251</f>
        <v>64100</v>
      </c>
      <c r="N29" s="35">
        <f>+M29+L29</f>
        <v>102194</v>
      </c>
      <c r="O29" s="35">
        <v>2959</v>
      </c>
      <c r="P29" s="35">
        <v>2504</v>
      </c>
      <c r="Q29" s="147">
        <f t="shared" ref="Q29:Q36" si="23">+P29+O29+N29+K29</f>
        <v>108683</v>
      </c>
      <c r="R29" s="36">
        <f t="shared" ref="R29:R40" si="24">+Q29/F29</f>
        <v>116.21488681444411</v>
      </c>
      <c r="S29" s="36">
        <f t="shared" ref="S29:S40" si="25">+N29/F29</f>
        <v>109.27618986516109</v>
      </c>
      <c r="T29" s="174">
        <f t="shared" ref="T29:T40" si="26">+L29/H29</f>
        <v>3.0090047393364929</v>
      </c>
      <c r="U29" s="174">
        <f t="shared" ref="U29:U40" si="27">+M29/I29</f>
        <v>3.3759941012271555</v>
      </c>
      <c r="V29" s="36">
        <f t="shared" ref="V29:V40" si="28">+K29/F29</f>
        <v>1.0971032624386488</v>
      </c>
      <c r="W29" s="36">
        <f t="shared" ref="W29:W40" si="29">+(O29+P29)/F29</f>
        <v>5.8415936868443845</v>
      </c>
    </row>
    <row r="30" spans="1:23" x14ac:dyDescent="0.25">
      <c r="A30" s="369"/>
      <c r="B30" s="192" t="s">
        <v>410</v>
      </c>
      <c r="C30" s="162">
        <v>44252</v>
      </c>
      <c r="D30" s="162">
        <v>44280</v>
      </c>
      <c r="E30" s="192">
        <v>33.700000000000003</v>
      </c>
      <c r="F30" s="147">
        <v>285</v>
      </c>
      <c r="G30" s="35">
        <f t="shared" si="21"/>
        <v>9604.5</v>
      </c>
      <c r="H30" s="35">
        <v>5150</v>
      </c>
      <c r="I30" s="35">
        <v>4455</v>
      </c>
      <c r="J30" s="35">
        <f t="shared" si="22"/>
        <v>9605</v>
      </c>
      <c r="K30" s="35">
        <v>1026</v>
      </c>
      <c r="L30" s="35">
        <v>15496</v>
      </c>
      <c r="M30" s="35">
        <v>15040</v>
      </c>
      <c r="N30" s="35">
        <f t="shared" ref="N30:N39" si="30">+M30+L30</f>
        <v>30536</v>
      </c>
      <c r="O30" s="35">
        <v>898</v>
      </c>
      <c r="P30" s="35">
        <v>760</v>
      </c>
      <c r="Q30" s="147">
        <f t="shared" si="23"/>
        <v>33220</v>
      </c>
      <c r="R30" s="36">
        <f t="shared" si="24"/>
        <v>116.56140350877193</v>
      </c>
      <c r="S30" s="36">
        <f t="shared" si="25"/>
        <v>107.1438596491228</v>
      </c>
      <c r="T30" s="174">
        <f t="shared" si="26"/>
        <v>3.0089320388349514</v>
      </c>
      <c r="U30" s="174">
        <f t="shared" si="27"/>
        <v>3.3759820426487095</v>
      </c>
      <c r="V30" s="36">
        <f t="shared" si="28"/>
        <v>3.6</v>
      </c>
      <c r="W30" s="36">
        <f t="shared" si="29"/>
        <v>5.8175438596491231</v>
      </c>
    </row>
    <row r="31" spans="1:23" x14ac:dyDescent="0.25">
      <c r="A31" s="369"/>
      <c r="B31" s="192" t="s">
        <v>410</v>
      </c>
      <c r="C31" s="162">
        <v>44281</v>
      </c>
      <c r="D31" s="162">
        <v>44311</v>
      </c>
      <c r="E31" s="192">
        <v>33.700000000000003</v>
      </c>
      <c r="F31" s="147">
        <v>186</v>
      </c>
      <c r="G31" s="35">
        <f t="shared" si="21"/>
        <v>6268.2000000000007</v>
      </c>
      <c r="H31" s="35">
        <v>4269</v>
      </c>
      <c r="I31" s="35">
        <v>1999</v>
      </c>
      <c r="J31" s="35">
        <f t="shared" si="22"/>
        <v>6268</v>
      </c>
      <c r="K31" s="35">
        <v>1026</v>
      </c>
      <c r="L31" s="35">
        <v>12845</v>
      </c>
      <c r="M31" s="35">
        <v>6749</v>
      </c>
      <c r="N31" s="35">
        <f t="shared" si="30"/>
        <v>19594</v>
      </c>
      <c r="O31" s="35">
        <v>586</v>
      </c>
      <c r="P31" s="35">
        <v>496</v>
      </c>
      <c r="Q31" s="147">
        <f t="shared" si="23"/>
        <v>21702</v>
      </c>
      <c r="R31" s="36">
        <f t="shared" si="24"/>
        <v>116.6774193548387</v>
      </c>
      <c r="S31" s="36">
        <f t="shared" si="25"/>
        <v>105.34408602150538</v>
      </c>
      <c r="T31" s="174">
        <f t="shared" si="26"/>
        <v>3.0089013820566879</v>
      </c>
      <c r="U31" s="174">
        <f t="shared" si="27"/>
        <v>3.3761880940470235</v>
      </c>
      <c r="V31" s="36">
        <f t="shared" si="28"/>
        <v>5.5161290322580649</v>
      </c>
      <c r="W31" s="36">
        <f t="shared" si="29"/>
        <v>5.817204301075269</v>
      </c>
    </row>
    <row r="32" spans="1:23" x14ac:dyDescent="0.25">
      <c r="A32" s="369"/>
      <c r="B32" s="192" t="s">
        <v>410</v>
      </c>
      <c r="C32" s="162">
        <v>44312</v>
      </c>
      <c r="D32" s="162">
        <v>44341</v>
      </c>
      <c r="E32" s="192">
        <v>33.700000000000003</v>
      </c>
      <c r="F32" s="147">
        <v>48</v>
      </c>
      <c r="G32" s="35">
        <f t="shared" si="21"/>
        <v>1617.6000000000001</v>
      </c>
      <c r="H32" s="35">
        <v>859</v>
      </c>
      <c r="I32" s="35">
        <v>759</v>
      </c>
      <c r="J32" s="35">
        <f t="shared" si="22"/>
        <v>1618</v>
      </c>
      <c r="K32" s="35">
        <v>1026</v>
      </c>
      <c r="L32" s="35">
        <v>2585</v>
      </c>
      <c r="M32" s="35">
        <v>2562</v>
      </c>
      <c r="N32" s="35">
        <f t="shared" si="30"/>
        <v>5147</v>
      </c>
      <c r="O32" s="35">
        <v>151</v>
      </c>
      <c r="P32" s="35">
        <v>128</v>
      </c>
      <c r="Q32" s="147">
        <f t="shared" si="23"/>
        <v>6452</v>
      </c>
      <c r="R32" s="36">
        <f t="shared" si="24"/>
        <v>134.41666666666666</v>
      </c>
      <c r="S32" s="36">
        <f t="shared" si="25"/>
        <v>107.22916666666667</v>
      </c>
      <c r="T32" s="174">
        <f t="shared" si="26"/>
        <v>3.0093131548311991</v>
      </c>
      <c r="U32" s="174">
        <f t="shared" si="27"/>
        <v>3.3754940711462451</v>
      </c>
      <c r="V32" s="36">
        <f t="shared" si="28"/>
        <v>21.375</v>
      </c>
      <c r="W32" s="36">
        <f t="shared" si="29"/>
        <v>5.8125</v>
      </c>
    </row>
    <row r="33" spans="1:23" x14ac:dyDescent="0.25">
      <c r="A33" s="369"/>
      <c r="B33" s="192" t="s">
        <v>410</v>
      </c>
      <c r="C33" s="162">
        <v>44342</v>
      </c>
      <c r="D33" s="162">
        <v>44372</v>
      </c>
      <c r="E33" s="192">
        <v>33.700000000000003</v>
      </c>
      <c r="F33" s="147">
        <v>22</v>
      </c>
      <c r="G33" s="35">
        <f t="shared" si="21"/>
        <v>741.40000000000009</v>
      </c>
      <c r="H33" s="35">
        <v>386</v>
      </c>
      <c r="I33" s="35">
        <v>355</v>
      </c>
      <c r="J33" s="35">
        <f t="shared" si="22"/>
        <v>741</v>
      </c>
      <c r="K33" s="35">
        <v>1026</v>
      </c>
      <c r="L33" s="35">
        <v>1161</v>
      </c>
      <c r="M33" s="35">
        <v>1198</v>
      </c>
      <c r="N33" s="35">
        <f t="shared" si="30"/>
        <v>2359</v>
      </c>
      <c r="O33" s="35">
        <v>69</v>
      </c>
      <c r="P33" s="35">
        <v>59</v>
      </c>
      <c r="Q33" s="147">
        <f t="shared" si="23"/>
        <v>3513</v>
      </c>
      <c r="R33" s="36">
        <f t="shared" si="24"/>
        <v>159.68181818181819</v>
      </c>
      <c r="S33" s="36">
        <f t="shared" si="25"/>
        <v>107.22727272727273</v>
      </c>
      <c r="T33" s="174">
        <f t="shared" si="26"/>
        <v>3.0077720207253886</v>
      </c>
      <c r="U33" s="174">
        <f t="shared" si="27"/>
        <v>3.3746478873239436</v>
      </c>
      <c r="V33" s="36">
        <f t="shared" si="28"/>
        <v>46.636363636363633</v>
      </c>
      <c r="W33" s="36">
        <f t="shared" si="29"/>
        <v>5.8181818181818183</v>
      </c>
    </row>
    <row r="34" spans="1:23" x14ac:dyDescent="0.25">
      <c r="A34" s="369"/>
      <c r="B34" s="192" t="s">
        <v>410</v>
      </c>
      <c r="C34" s="162">
        <v>44373</v>
      </c>
      <c r="D34" s="162">
        <v>44433</v>
      </c>
      <c r="E34" s="192">
        <v>33.700000000000003</v>
      </c>
      <c r="F34" s="147">
        <v>43</v>
      </c>
      <c r="G34" s="35">
        <f t="shared" si="21"/>
        <v>1449.1000000000001</v>
      </c>
      <c r="H34" s="35">
        <v>724</v>
      </c>
      <c r="I34" s="35">
        <v>725</v>
      </c>
      <c r="J34" s="35">
        <f t="shared" si="22"/>
        <v>1449</v>
      </c>
      <c r="K34" s="35">
        <f>1026*2</f>
        <v>2052</v>
      </c>
      <c r="L34" s="35">
        <v>2179</v>
      </c>
      <c r="M34" s="35">
        <v>2448</v>
      </c>
      <c r="N34" s="35">
        <f t="shared" si="30"/>
        <v>4627</v>
      </c>
      <c r="O34" s="35">
        <v>135</v>
      </c>
      <c r="P34" s="35">
        <v>115</v>
      </c>
      <c r="Q34" s="147">
        <f t="shared" si="23"/>
        <v>6929</v>
      </c>
      <c r="R34" s="36">
        <f t="shared" si="24"/>
        <v>161.13953488372093</v>
      </c>
      <c r="S34" s="36">
        <f t="shared" si="25"/>
        <v>107.6046511627907</v>
      </c>
      <c r="T34" s="174">
        <f t="shared" si="26"/>
        <v>3.0096685082872927</v>
      </c>
      <c r="U34" s="174">
        <f t="shared" si="27"/>
        <v>3.376551724137931</v>
      </c>
      <c r="V34" s="36">
        <f t="shared" si="28"/>
        <v>47.720930232558139</v>
      </c>
      <c r="W34" s="36">
        <f t="shared" si="29"/>
        <v>5.8139534883720927</v>
      </c>
    </row>
    <row r="35" spans="1:23" x14ac:dyDescent="0.25">
      <c r="A35" s="369"/>
      <c r="B35" s="192" t="s">
        <v>410</v>
      </c>
      <c r="C35" s="162">
        <v>44434</v>
      </c>
      <c r="D35" s="162">
        <v>44464</v>
      </c>
      <c r="E35" s="192">
        <v>33.700000000000003</v>
      </c>
      <c r="F35" s="147">
        <v>37</v>
      </c>
      <c r="G35" s="35">
        <f t="shared" si="21"/>
        <v>1246.9000000000001</v>
      </c>
      <c r="H35" s="35">
        <v>623</v>
      </c>
      <c r="I35" s="35">
        <v>624</v>
      </c>
      <c r="J35" s="35">
        <f t="shared" si="22"/>
        <v>1247</v>
      </c>
      <c r="K35" s="35">
        <v>1026</v>
      </c>
      <c r="L35" s="35">
        <v>1875</v>
      </c>
      <c r="M35" s="35">
        <v>2107</v>
      </c>
      <c r="N35" s="35">
        <f t="shared" si="30"/>
        <v>3982</v>
      </c>
      <c r="O35" s="35">
        <v>117</v>
      </c>
      <c r="P35" s="35">
        <v>99</v>
      </c>
      <c r="Q35" s="147">
        <f t="shared" si="23"/>
        <v>5224</v>
      </c>
      <c r="R35" s="36">
        <f t="shared" si="24"/>
        <v>141.18918918918919</v>
      </c>
      <c r="S35" s="36">
        <f t="shared" si="25"/>
        <v>107.62162162162163</v>
      </c>
      <c r="T35" s="174">
        <f t="shared" si="26"/>
        <v>3.0096308186195828</v>
      </c>
      <c r="U35" s="174">
        <f t="shared" si="27"/>
        <v>3.3766025641025643</v>
      </c>
      <c r="V35" s="36">
        <f t="shared" si="28"/>
        <v>27.72972972972973</v>
      </c>
      <c r="W35" s="36">
        <f t="shared" si="29"/>
        <v>5.8378378378378377</v>
      </c>
    </row>
    <row r="36" spans="1:23" x14ac:dyDescent="0.25">
      <c r="A36" s="369"/>
      <c r="B36" s="192" t="s">
        <v>410</v>
      </c>
      <c r="C36" s="162">
        <v>44465</v>
      </c>
      <c r="D36" s="162">
        <v>44494</v>
      </c>
      <c r="E36" s="192">
        <v>33.700000000000003</v>
      </c>
      <c r="F36" s="147">
        <f>27+132</f>
        <v>159</v>
      </c>
      <c r="G36" s="35">
        <f t="shared" si="21"/>
        <v>5358.3</v>
      </c>
      <c r="H36" s="35">
        <v>2943</v>
      </c>
      <c r="I36" s="35">
        <v>2415</v>
      </c>
      <c r="J36" s="35">
        <f t="shared" si="22"/>
        <v>5358</v>
      </c>
      <c r="K36" s="35">
        <v>1026</v>
      </c>
      <c r="L36" s="35">
        <v>8855</v>
      </c>
      <c r="M36" s="35">
        <v>8153</v>
      </c>
      <c r="N36" s="35">
        <f t="shared" si="30"/>
        <v>17008</v>
      </c>
      <c r="O36" s="35">
        <f>85+416</f>
        <v>501</v>
      </c>
      <c r="P36" s="35">
        <f>72+352</f>
        <v>424</v>
      </c>
      <c r="Q36" s="147">
        <f t="shared" si="23"/>
        <v>18959</v>
      </c>
      <c r="R36" s="36">
        <f t="shared" si="24"/>
        <v>119.23899371069183</v>
      </c>
      <c r="S36" s="36">
        <f t="shared" si="25"/>
        <v>106.96855345911949</v>
      </c>
      <c r="T36" s="174">
        <f t="shared" si="26"/>
        <v>3.0088345225959903</v>
      </c>
      <c r="U36" s="174">
        <f t="shared" si="27"/>
        <v>3.375983436853002</v>
      </c>
      <c r="V36" s="36">
        <f t="shared" si="28"/>
        <v>6.4528301886792452</v>
      </c>
      <c r="W36" s="36">
        <f t="shared" si="29"/>
        <v>5.817610062893082</v>
      </c>
    </row>
    <row r="37" spans="1:23" x14ac:dyDescent="0.25">
      <c r="A37" s="369"/>
      <c r="B37" s="192" t="s">
        <v>410</v>
      </c>
      <c r="C37" s="162">
        <v>44495</v>
      </c>
      <c r="D37" s="162">
        <v>44525</v>
      </c>
      <c r="E37" s="192">
        <v>33.700000000000003</v>
      </c>
      <c r="F37" s="147">
        <v>279</v>
      </c>
      <c r="G37" s="35">
        <f t="shared" si="21"/>
        <v>9402.3000000000011</v>
      </c>
      <c r="H37" s="35">
        <v>4639</v>
      </c>
      <c r="I37" s="35">
        <v>4763</v>
      </c>
      <c r="J37" s="35">
        <f t="shared" si="22"/>
        <v>9402</v>
      </c>
      <c r="K37" s="35">
        <v>1026</v>
      </c>
      <c r="L37" s="35">
        <v>13959</v>
      </c>
      <c r="M37" s="35">
        <v>16080</v>
      </c>
      <c r="N37" s="35">
        <f t="shared" si="30"/>
        <v>30039</v>
      </c>
      <c r="O37" s="35">
        <v>879</v>
      </c>
      <c r="P37" s="35">
        <v>744</v>
      </c>
      <c r="Q37" s="147">
        <f t="shared" ref="Q37" si="31">+P37+O37+N37+K37</f>
        <v>32688</v>
      </c>
      <c r="R37" s="36">
        <f t="shared" ref="R37" si="32">+Q37/F37</f>
        <v>117.16129032258064</v>
      </c>
      <c r="S37" s="36">
        <f t="shared" ref="S37" si="33">+N37/F37</f>
        <v>107.66666666666667</v>
      </c>
      <c r="T37" s="174">
        <f t="shared" ref="T37" si="34">+L37/H37</f>
        <v>3.009053675361069</v>
      </c>
      <c r="U37" s="174">
        <f t="shared" ref="U37" si="35">+M37/I37</f>
        <v>3.376023514591644</v>
      </c>
      <c r="V37" s="36">
        <f t="shared" ref="V37" si="36">+K37/F37</f>
        <v>3.6774193548387095</v>
      </c>
      <c r="W37" s="36">
        <f t="shared" ref="W37" si="37">+(O37+P37)/F37</f>
        <v>5.817204301075269</v>
      </c>
    </row>
    <row r="38" spans="1:23" x14ac:dyDescent="0.25">
      <c r="A38" s="369"/>
      <c r="B38" s="192" t="s">
        <v>410</v>
      </c>
      <c r="C38" s="162">
        <v>44526</v>
      </c>
      <c r="D38" s="162">
        <v>44555</v>
      </c>
      <c r="E38" s="192">
        <v>33.700000000000003</v>
      </c>
      <c r="F38" s="147">
        <v>389</v>
      </c>
      <c r="G38" s="35">
        <f t="shared" si="21"/>
        <v>13109.300000000001</v>
      </c>
      <c r="H38" s="35">
        <v>6473</v>
      </c>
      <c r="I38" s="35">
        <v>6636</v>
      </c>
      <c r="J38" s="35">
        <f t="shared" si="22"/>
        <v>13109</v>
      </c>
      <c r="K38" s="35">
        <v>1026</v>
      </c>
      <c r="L38" s="35">
        <v>19477</v>
      </c>
      <c r="M38" s="35">
        <v>22403</v>
      </c>
      <c r="N38" s="35">
        <f t="shared" si="30"/>
        <v>41880</v>
      </c>
      <c r="O38" s="35">
        <v>1226</v>
      </c>
      <c r="P38" s="35">
        <v>1037</v>
      </c>
      <c r="Q38" s="147">
        <f t="shared" ref="Q38:Q39" si="38">+P38+O38+N38+K38</f>
        <v>45169</v>
      </c>
      <c r="R38" s="36">
        <f t="shared" ref="R38:R39" si="39">+Q38/F38</f>
        <v>116.11568123393316</v>
      </c>
      <c r="S38" s="36">
        <f t="shared" ref="S38:S39" si="40">+N38/F38</f>
        <v>107.66066838046272</v>
      </c>
      <c r="T38" s="174">
        <f t="shared" ref="T38:T39" si="41">+L38/H38</f>
        <v>3.0089602966167157</v>
      </c>
      <c r="U38" s="174">
        <f t="shared" ref="U38:U39" si="42">+M38/I38</f>
        <v>3.3759795057263413</v>
      </c>
      <c r="V38" s="36">
        <f t="shared" ref="V38:V39" si="43">+K38/F38</f>
        <v>2.6375321336760926</v>
      </c>
      <c r="W38" s="36">
        <f t="shared" ref="W38:W39" si="44">+(O38+P38)/F38</f>
        <v>5.8174807197943448</v>
      </c>
    </row>
    <row r="39" spans="1:23" ht="15.75" thickBot="1" x14ac:dyDescent="0.3">
      <c r="A39" s="369"/>
      <c r="B39" s="342" t="s">
        <v>103</v>
      </c>
      <c r="C39" s="343">
        <v>44252</v>
      </c>
      <c r="D39" s="343">
        <v>44561</v>
      </c>
      <c r="E39" s="342">
        <v>33.6</v>
      </c>
      <c r="F39" s="147">
        <v>1029.77</v>
      </c>
      <c r="G39" s="35">
        <f t="shared" si="21"/>
        <v>34600.272000000004</v>
      </c>
      <c r="H39" s="35">
        <v>28380</v>
      </c>
      <c r="I39" s="35">
        <v>6220</v>
      </c>
      <c r="J39" s="35">
        <f t="shared" si="22"/>
        <v>34600</v>
      </c>
      <c r="K39" s="35">
        <f>10*1026</f>
        <v>10260</v>
      </c>
      <c r="L39" s="35">
        <v>85395</v>
      </c>
      <c r="M39" s="35">
        <v>20999</v>
      </c>
      <c r="N39" s="35">
        <f t="shared" si="30"/>
        <v>106394</v>
      </c>
      <c r="O39" s="35">
        <f>1563+1672</f>
        <v>3235</v>
      </c>
      <c r="P39" s="35">
        <f>1323+1415</f>
        <v>2738</v>
      </c>
      <c r="Q39" s="147">
        <f t="shared" si="38"/>
        <v>122627</v>
      </c>
      <c r="R39" s="36">
        <f t="shared" si="39"/>
        <v>119.08193091661245</v>
      </c>
      <c r="S39" s="36">
        <f t="shared" si="40"/>
        <v>103.31821668916361</v>
      </c>
      <c r="T39" s="174">
        <f t="shared" si="41"/>
        <v>3.0089852008456659</v>
      </c>
      <c r="U39" s="174">
        <f t="shared" si="42"/>
        <v>3.3760450160771702</v>
      </c>
      <c r="V39" s="36">
        <f t="shared" si="43"/>
        <v>9.9633898831777969</v>
      </c>
      <c r="W39" s="36">
        <f t="shared" si="44"/>
        <v>5.8003243442710506</v>
      </c>
    </row>
    <row r="40" spans="1:23" ht="16.5" thickTop="1" thickBot="1" x14ac:dyDescent="0.3">
      <c r="A40" s="361" t="s">
        <v>6</v>
      </c>
      <c r="B40" s="362"/>
      <c r="C40" s="362"/>
      <c r="D40" s="363"/>
      <c r="E40" s="49" t="s">
        <v>28</v>
      </c>
      <c r="F40" s="40">
        <f>+F39+F29+F28</f>
        <v>1964.96</v>
      </c>
      <c r="G40" s="40">
        <f t="shared" ref="G40:Q40" si="45">+G39+G29+G28</f>
        <v>66247.101600000009</v>
      </c>
      <c r="H40" s="40">
        <f t="shared" si="45"/>
        <v>41040</v>
      </c>
      <c r="I40" s="40">
        <f t="shared" si="45"/>
        <v>25207</v>
      </c>
      <c r="J40" s="40">
        <f t="shared" si="45"/>
        <v>66247</v>
      </c>
      <c r="K40" s="40">
        <f t="shared" si="45"/>
        <v>12312</v>
      </c>
      <c r="L40" s="40">
        <f t="shared" si="45"/>
        <v>123489</v>
      </c>
      <c r="M40" s="40">
        <f t="shared" si="45"/>
        <v>85099</v>
      </c>
      <c r="N40" s="40">
        <f t="shared" si="45"/>
        <v>208588</v>
      </c>
      <c r="O40" s="40">
        <f t="shared" si="45"/>
        <v>6194</v>
      </c>
      <c r="P40" s="40">
        <f t="shared" si="45"/>
        <v>5242</v>
      </c>
      <c r="Q40" s="40">
        <f t="shared" si="45"/>
        <v>232336</v>
      </c>
      <c r="R40" s="41">
        <f t="shared" si="24"/>
        <v>118.23955703932904</v>
      </c>
      <c r="S40" s="41">
        <f t="shared" si="25"/>
        <v>106.15381483592542</v>
      </c>
      <c r="T40" s="175">
        <f t="shared" si="26"/>
        <v>3.0089912280701756</v>
      </c>
      <c r="U40" s="175">
        <f t="shared" si="27"/>
        <v>3.3760066648153293</v>
      </c>
      <c r="V40" s="41">
        <f t="shared" si="28"/>
        <v>6.2657764025730804</v>
      </c>
      <c r="W40" s="41">
        <f t="shared" si="29"/>
        <v>5.819965800830551</v>
      </c>
    </row>
    <row r="41" spans="1:23" ht="33" thickTop="1" x14ac:dyDescent="0.25">
      <c r="A41" s="98" t="s">
        <v>86</v>
      </c>
      <c r="B41" s="355" t="s">
        <v>290</v>
      </c>
      <c r="C41" s="355"/>
      <c r="D41" s="355"/>
      <c r="E41" s="42" t="s">
        <v>180</v>
      </c>
      <c r="F41" s="43" t="s">
        <v>28</v>
      </c>
      <c r="G41" s="43"/>
      <c r="H41" s="43"/>
      <c r="I41" s="43"/>
      <c r="J41" s="43"/>
      <c r="K41" s="43" t="s">
        <v>177</v>
      </c>
      <c r="L41" s="371">
        <v>837641</v>
      </c>
      <c r="M41" s="371"/>
      <c r="N41" s="133"/>
      <c r="O41" s="370" t="s">
        <v>179</v>
      </c>
      <c r="P41" s="370"/>
      <c r="Q41" s="370"/>
      <c r="R41" s="370"/>
      <c r="S41" s="44"/>
      <c r="T41" s="44"/>
      <c r="U41" s="44"/>
      <c r="V41" s="44"/>
      <c r="W41" s="44"/>
    </row>
    <row r="42" spans="1:23" ht="15.75" thickBot="1" x14ac:dyDescent="0.3"/>
    <row r="43" spans="1:23" ht="28.5" customHeight="1" thickTop="1" thickBot="1" x14ac:dyDescent="0.3">
      <c r="A43" s="364" t="s">
        <v>64</v>
      </c>
      <c r="B43" s="366" t="s">
        <v>0</v>
      </c>
      <c r="C43" s="360" t="s">
        <v>5</v>
      </c>
      <c r="D43" s="360"/>
      <c r="E43" s="360" t="s">
        <v>65</v>
      </c>
      <c r="F43" s="357" t="s">
        <v>2</v>
      </c>
      <c r="G43" s="358"/>
      <c r="H43" s="358"/>
      <c r="I43" s="358"/>
      <c r="J43" s="359"/>
      <c r="K43" s="357" t="s">
        <v>13</v>
      </c>
      <c r="L43" s="358"/>
      <c r="M43" s="358"/>
      <c r="N43" s="358"/>
      <c r="O43" s="358"/>
      <c r="P43" s="358"/>
      <c r="Q43" s="358"/>
      <c r="R43" s="357" t="s">
        <v>66</v>
      </c>
      <c r="S43" s="358"/>
      <c r="T43" s="358"/>
      <c r="U43" s="358"/>
      <c r="V43" s="358"/>
      <c r="W43" s="359"/>
    </row>
    <row r="44" spans="1:23" ht="46.5" thickTop="1" thickBot="1" x14ac:dyDescent="0.3">
      <c r="A44" s="365"/>
      <c r="B44" s="367"/>
      <c r="C44" s="171" t="s">
        <v>3</v>
      </c>
      <c r="D44" s="171" t="s">
        <v>4</v>
      </c>
      <c r="E44" s="360"/>
      <c r="F44" s="171" t="s">
        <v>67</v>
      </c>
      <c r="G44" s="171" t="s">
        <v>1</v>
      </c>
      <c r="H44" s="171" t="s">
        <v>277</v>
      </c>
      <c r="I44" s="171" t="s">
        <v>278</v>
      </c>
      <c r="J44" s="171" t="s">
        <v>279</v>
      </c>
      <c r="K44" s="171" t="s">
        <v>271</v>
      </c>
      <c r="L44" s="171" t="s">
        <v>272</v>
      </c>
      <c r="M44" s="171" t="s">
        <v>273</v>
      </c>
      <c r="N44" s="167" t="s">
        <v>274</v>
      </c>
      <c r="O44" s="167" t="s">
        <v>379</v>
      </c>
      <c r="P44" s="167" t="s">
        <v>26</v>
      </c>
      <c r="Q44" s="167" t="s">
        <v>275</v>
      </c>
      <c r="R44" s="170" t="s">
        <v>6</v>
      </c>
      <c r="S44" s="170" t="s">
        <v>21</v>
      </c>
      <c r="T44" s="170" t="s">
        <v>280</v>
      </c>
      <c r="U44" s="170" t="s">
        <v>281</v>
      </c>
      <c r="V44" s="170" t="s">
        <v>20</v>
      </c>
      <c r="W44" s="170" t="s">
        <v>27</v>
      </c>
    </row>
    <row r="45" spans="1:23" ht="15.75" thickTop="1" x14ac:dyDescent="0.25">
      <c r="A45" s="368" t="s">
        <v>296</v>
      </c>
      <c r="B45" s="279" t="s">
        <v>103</v>
      </c>
      <c r="C45" s="280">
        <v>44251</v>
      </c>
      <c r="D45" s="280">
        <v>44561</v>
      </c>
      <c r="E45" s="279">
        <v>33.61</v>
      </c>
      <c r="F45" s="146">
        <f>757.76+3682.3+1294.34</f>
        <v>5734.4000000000005</v>
      </c>
      <c r="G45" s="144">
        <f t="shared" ref="G45:G57" si="46">+F45*E45</f>
        <v>192733.18400000001</v>
      </c>
      <c r="H45" s="288">
        <v>28596</v>
      </c>
      <c r="I45" s="288">
        <v>164138</v>
      </c>
      <c r="J45" s="288">
        <f t="shared" ref="J45:J57" si="47">+I45+H45</f>
        <v>192734</v>
      </c>
      <c r="K45" s="144">
        <f>11*1026</f>
        <v>11286</v>
      </c>
      <c r="L45" s="143">
        <v>86045</v>
      </c>
      <c r="M45" s="143">
        <v>554130</v>
      </c>
      <c r="N45" s="143">
        <f t="shared" ref="N45:N57" si="48">+M45+L45</f>
        <v>640175</v>
      </c>
      <c r="O45" s="143">
        <f>1158+5628+1976+1223+5944+2092</f>
        <v>18021</v>
      </c>
      <c r="P45" s="143">
        <f>980+4762+1672+1035+5029+1770</f>
        <v>15248</v>
      </c>
      <c r="Q45" s="146">
        <f>+P45+O45+N45+K45</f>
        <v>684730</v>
      </c>
      <c r="R45" s="289">
        <f>+Q45/F45</f>
        <v>119.40743582589285</v>
      </c>
      <c r="S45" s="289">
        <f>+N45/F45</f>
        <v>111.63766043526785</v>
      </c>
      <c r="T45" s="290">
        <f>+L45/H45</f>
        <v>3.0089872709469856</v>
      </c>
      <c r="U45" s="290">
        <f>+M45/I45</f>
        <v>3.3760006823526543</v>
      </c>
      <c r="V45" s="289">
        <f>+K45/F45</f>
        <v>1.9681222098214284</v>
      </c>
      <c r="W45" s="289">
        <f>+(O45+P45)/F45</f>
        <v>5.8016531808035712</v>
      </c>
    </row>
    <row r="46" spans="1:23" x14ac:dyDescent="0.25">
      <c r="A46" s="369"/>
      <c r="B46" s="33">
        <v>1</v>
      </c>
      <c r="C46" s="162">
        <v>44206</v>
      </c>
      <c r="D46" s="162">
        <v>44236</v>
      </c>
      <c r="E46" s="192">
        <v>33.700000000000003</v>
      </c>
      <c r="F46" s="147">
        <v>1533</v>
      </c>
      <c r="G46" s="35">
        <f t="shared" si="46"/>
        <v>51662.100000000006</v>
      </c>
      <c r="H46" s="35">
        <v>7727</v>
      </c>
      <c r="I46" s="35">
        <v>43935</v>
      </c>
      <c r="J46" s="35">
        <f t="shared" si="47"/>
        <v>51662</v>
      </c>
      <c r="K46" s="35">
        <v>1026</v>
      </c>
      <c r="L46" s="35">
        <v>23251</v>
      </c>
      <c r="M46" s="35">
        <v>148325</v>
      </c>
      <c r="N46" s="35">
        <f t="shared" si="48"/>
        <v>171576</v>
      </c>
      <c r="O46" s="35">
        <v>4830</v>
      </c>
      <c r="P46" s="35">
        <v>4087</v>
      </c>
      <c r="Q46" s="147">
        <f t="shared" ref="Q46:Q57" si="49">+P46+O46+N46+K46</f>
        <v>181519</v>
      </c>
      <c r="R46" s="36">
        <f t="shared" ref="R46:R58" si="50">+Q46/F46</f>
        <v>118.40769732550554</v>
      </c>
      <c r="S46" s="36">
        <f t="shared" ref="S46:S58" si="51">+N46/F46</f>
        <v>111.92172211350294</v>
      </c>
      <c r="T46" s="174">
        <f t="shared" ref="T46:T58" si="52">+L46/H46</f>
        <v>3.00905914326388</v>
      </c>
      <c r="U46" s="174">
        <f t="shared" ref="U46:U58" si="53">+M46/I46</f>
        <v>3.3760100147945828</v>
      </c>
      <c r="V46" s="36">
        <f t="shared" ref="V46:V58" si="54">+K46/F46</f>
        <v>0.66927592954990212</v>
      </c>
      <c r="W46" s="36">
        <f t="shared" ref="W46:W58" si="55">+(O46+P46)/F46</f>
        <v>5.8166992824527073</v>
      </c>
    </row>
    <row r="47" spans="1:23" x14ac:dyDescent="0.25">
      <c r="A47" s="369"/>
      <c r="B47" s="192"/>
      <c r="C47" s="162"/>
      <c r="D47" s="162"/>
      <c r="E47" s="192"/>
      <c r="F47" s="147"/>
      <c r="G47" s="35">
        <f t="shared" si="46"/>
        <v>0</v>
      </c>
      <c r="H47" s="35"/>
      <c r="I47" s="35"/>
      <c r="J47" s="35">
        <f t="shared" si="47"/>
        <v>0</v>
      </c>
      <c r="K47" s="35"/>
      <c r="L47" s="35"/>
      <c r="M47" s="35"/>
      <c r="N47" s="35">
        <f t="shared" si="48"/>
        <v>0</v>
      </c>
      <c r="O47" s="35"/>
      <c r="P47" s="35"/>
      <c r="Q47" s="147">
        <f t="shared" si="49"/>
        <v>0</v>
      </c>
      <c r="R47" s="36" t="e">
        <f t="shared" si="50"/>
        <v>#DIV/0!</v>
      </c>
      <c r="S47" s="36" t="e">
        <f t="shared" si="51"/>
        <v>#DIV/0!</v>
      </c>
      <c r="T47" s="174" t="e">
        <f t="shared" si="52"/>
        <v>#DIV/0!</v>
      </c>
      <c r="U47" s="174" t="e">
        <f t="shared" si="53"/>
        <v>#DIV/0!</v>
      </c>
      <c r="V47" s="36" t="e">
        <f t="shared" si="54"/>
        <v>#DIV/0!</v>
      </c>
      <c r="W47" s="36" t="e">
        <f t="shared" si="55"/>
        <v>#DIV/0!</v>
      </c>
    </row>
    <row r="48" spans="1:23" x14ac:dyDescent="0.25">
      <c r="A48" s="369"/>
      <c r="B48" s="33">
        <v>3</v>
      </c>
      <c r="C48" s="162">
        <v>44251</v>
      </c>
      <c r="D48" s="162">
        <v>44295</v>
      </c>
      <c r="E48" s="192">
        <v>33.700000000000003</v>
      </c>
      <c r="F48" s="147">
        <v>1293</v>
      </c>
      <c r="G48" s="35">
        <f t="shared" si="46"/>
        <v>43574.100000000006</v>
      </c>
      <c r="H48" s="35">
        <v>7774</v>
      </c>
      <c r="I48" s="35">
        <v>35800</v>
      </c>
      <c r="J48" s="35">
        <f t="shared" si="47"/>
        <v>43574</v>
      </c>
      <c r="K48" s="35">
        <v>1026</v>
      </c>
      <c r="L48" s="35">
        <v>23392</v>
      </c>
      <c r="M48" s="35">
        <v>120861</v>
      </c>
      <c r="N48" s="35">
        <f t="shared" si="48"/>
        <v>144253</v>
      </c>
      <c r="O48" s="35">
        <v>4074</v>
      </c>
      <c r="P48" s="35">
        <v>3447</v>
      </c>
      <c r="Q48" s="147">
        <f t="shared" si="49"/>
        <v>152800</v>
      </c>
      <c r="R48" s="36">
        <f t="shared" ref="R48:R57" si="56">+Q48/F48</f>
        <v>118.17478731631864</v>
      </c>
      <c r="S48" s="36">
        <f t="shared" ref="S48:S57" si="57">+N48/F48</f>
        <v>111.5645784996133</v>
      </c>
      <c r="T48" s="174">
        <f t="shared" si="52"/>
        <v>3.0090043735528686</v>
      </c>
      <c r="U48" s="174">
        <f t="shared" si="53"/>
        <v>3.376005586592179</v>
      </c>
      <c r="V48" s="36">
        <f t="shared" ref="V48:V57" si="58">+K48/F48</f>
        <v>0.79350348027842232</v>
      </c>
      <c r="W48" s="36">
        <f t="shared" ref="W48:W57" si="59">+(O48+P48)/F48</f>
        <v>5.8167053364269146</v>
      </c>
    </row>
    <row r="49" spans="1:23" x14ac:dyDescent="0.25">
      <c r="A49" s="369"/>
      <c r="B49" s="33">
        <v>4</v>
      </c>
      <c r="C49" s="162">
        <v>44296</v>
      </c>
      <c r="D49" s="162">
        <v>44325</v>
      </c>
      <c r="E49" s="192">
        <v>33.700000000000003</v>
      </c>
      <c r="F49" s="147">
        <v>342</v>
      </c>
      <c r="G49" s="35">
        <f t="shared" si="46"/>
        <v>11525.400000000001</v>
      </c>
      <c r="H49" s="35">
        <v>1985</v>
      </c>
      <c r="I49" s="35">
        <v>9540</v>
      </c>
      <c r="J49" s="35">
        <f t="shared" si="47"/>
        <v>11525</v>
      </c>
      <c r="K49" s="35">
        <v>1026</v>
      </c>
      <c r="L49" s="35">
        <v>5973</v>
      </c>
      <c r="M49" s="35">
        <v>32207</v>
      </c>
      <c r="N49" s="35">
        <f t="shared" si="48"/>
        <v>38180</v>
      </c>
      <c r="O49" s="35">
        <v>1078</v>
      </c>
      <c r="P49" s="35">
        <v>912</v>
      </c>
      <c r="Q49" s="147">
        <f t="shared" si="49"/>
        <v>41196</v>
      </c>
      <c r="R49" s="36">
        <f t="shared" si="56"/>
        <v>120.45614035087719</v>
      </c>
      <c r="S49" s="36">
        <f t="shared" si="57"/>
        <v>111.6374269005848</v>
      </c>
      <c r="T49" s="174">
        <f t="shared" si="52"/>
        <v>3.0090680100755667</v>
      </c>
      <c r="U49" s="174">
        <f t="shared" si="53"/>
        <v>3.3759958071278824</v>
      </c>
      <c r="V49" s="36">
        <f t="shared" si="58"/>
        <v>3</v>
      </c>
      <c r="W49" s="36">
        <f t="shared" si="59"/>
        <v>5.8187134502923978</v>
      </c>
    </row>
    <row r="50" spans="1:23" x14ac:dyDescent="0.25">
      <c r="A50" s="369"/>
      <c r="B50" s="33">
        <v>5</v>
      </c>
      <c r="C50" s="162">
        <v>44326</v>
      </c>
      <c r="D50" s="162">
        <v>44356</v>
      </c>
      <c r="E50" s="192">
        <v>33.700000000000003</v>
      </c>
      <c r="F50" s="147">
        <v>95</v>
      </c>
      <c r="G50" s="35">
        <f t="shared" si="46"/>
        <v>3201.5000000000005</v>
      </c>
      <c r="H50" s="35">
        <v>1547</v>
      </c>
      <c r="I50" s="35">
        <v>1655</v>
      </c>
      <c r="J50" s="35">
        <f t="shared" si="47"/>
        <v>3202</v>
      </c>
      <c r="K50" s="35">
        <v>1026</v>
      </c>
      <c r="L50" s="35">
        <v>4655</v>
      </c>
      <c r="M50" s="35">
        <v>5587</v>
      </c>
      <c r="N50" s="35">
        <f t="shared" si="48"/>
        <v>10242</v>
      </c>
      <c r="O50" s="35">
        <v>299</v>
      </c>
      <c r="P50" s="35">
        <v>253</v>
      </c>
      <c r="Q50" s="147">
        <f t="shared" si="49"/>
        <v>11820</v>
      </c>
      <c r="R50" s="36">
        <f t="shared" si="56"/>
        <v>124.42105263157895</v>
      </c>
      <c r="S50" s="36">
        <f t="shared" si="57"/>
        <v>107.81052631578947</v>
      </c>
      <c r="T50" s="174">
        <f t="shared" si="52"/>
        <v>3.0090497737556561</v>
      </c>
      <c r="U50" s="174">
        <f t="shared" si="53"/>
        <v>3.3758308157099699</v>
      </c>
      <c r="V50" s="36">
        <f t="shared" si="58"/>
        <v>10.8</v>
      </c>
      <c r="W50" s="36">
        <f t="shared" si="59"/>
        <v>5.810526315789474</v>
      </c>
    </row>
    <row r="51" spans="1:23" x14ac:dyDescent="0.25">
      <c r="A51" s="369"/>
      <c r="B51" s="33">
        <v>6</v>
      </c>
      <c r="C51" s="162">
        <v>44357</v>
      </c>
      <c r="D51" s="162">
        <v>44386</v>
      </c>
      <c r="E51" s="192">
        <v>33.700000000000003</v>
      </c>
      <c r="F51" s="147">
        <v>66</v>
      </c>
      <c r="G51" s="35">
        <f t="shared" si="46"/>
        <v>2224.2000000000003</v>
      </c>
      <c r="H51" s="35">
        <v>356</v>
      </c>
      <c r="I51" s="35">
        <v>1868</v>
      </c>
      <c r="J51" s="35">
        <f t="shared" si="47"/>
        <v>2224</v>
      </c>
      <c r="K51" s="35">
        <v>1026</v>
      </c>
      <c r="L51" s="35">
        <v>1071</v>
      </c>
      <c r="M51" s="35">
        <v>6306</v>
      </c>
      <c r="N51" s="35">
        <f t="shared" si="48"/>
        <v>7377</v>
      </c>
      <c r="O51" s="35">
        <v>208</v>
      </c>
      <c r="P51" s="35">
        <v>176</v>
      </c>
      <c r="Q51" s="147">
        <f t="shared" si="49"/>
        <v>8787</v>
      </c>
      <c r="R51" s="36">
        <f t="shared" si="56"/>
        <v>133.13636363636363</v>
      </c>
      <c r="S51" s="36">
        <f t="shared" si="57"/>
        <v>111.77272727272727</v>
      </c>
      <c r="T51" s="174">
        <f t="shared" si="52"/>
        <v>3.0084269662921348</v>
      </c>
      <c r="U51" s="174">
        <f t="shared" si="53"/>
        <v>3.3758029978586723</v>
      </c>
      <c r="V51" s="36">
        <f t="shared" si="58"/>
        <v>15.545454545454545</v>
      </c>
      <c r="W51" s="36">
        <f t="shared" si="59"/>
        <v>5.8181818181818183</v>
      </c>
    </row>
    <row r="52" spans="1:23" x14ac:dyDescent="0.25">
      <c r="A52" s="369"/>
      <c r="B52" s="33">
        <v>7</v>
      </c>
      <c r="C52" s="162">
        <v>44387</v>
      </c>
      <c r="D52" s="162">
        <v>44417</v>
      </c>
      <c r="E52" s="192">
        <v>33.700000000000003</v>
      </c>
      <c r="F52" s="147">
        <v>68</v>
      </c>
      <c r="G52" s="35">
        <f t="shared" si="46"/>
        <v>2291.6000000000004</v>
      </c>
      <c r="H52" s="35">
        <v>368</v>
      </c>
      <c r="I52" s="35">
        <v>1924</v>
      </c>
      <c r="J52" s="35">
        <f t="shared" si="47"/>
        <v>2292</v>
      </c>
      <c r="K52" s="35">
        <v>1026</v>
      </c>
      <c r="L52" s="35">
        <v>1107</v>
      </c>
      <c r="M52" s="35">
        <v>6495</v>
      </c>
      <c r="N52" s="35">
        <f t="shared" si="48"/>
        <v>7602</v>
      </c>
      <c r="O52" s="35">
        <v>214</v>
      </c>
      <c r="P52" s="35">
        <v>181</v>
      </c>
      <c r="Q52" s="147">
        <f t="shared" si="49"/>
        <v>9023</v>
      </c>
      <c r="R52" s="36">
        <f t="shared" si="56"/>
        <v>132.69117647058823</v>
      </c>
      <c r="S52" s="36">
        <f t="shared" si="57"/>
        <v>111.79411764705883</v>
      </c>
      <c r="T52" s="174">
        <f t="shared" si="52"/>
        <v>3.0081521739130435</v>
      </c>
      <c r="U52" s="174">
        <f t="shared" si="53"/>
        <v>3.375779625779626</v>
      </c>
      <c r="V52" s="36">
        <f t="shared" si="58"/>
        <v>15.088235294117647</v>
      </c>
      <c r="W52" s="36">
        <f t="shared" si="59"/>
        <v>5.8088235294117645</v>
      </c>
    </row>
    <row r="53" spans="1:23" x14ac:dyDescent="0.25">
      <c r="A53" s="369"/>
      <c r="B53" s="33">
        <v>8</v>
      </c>
      <c r="C53" s="162">
        <v>44418</v>
      </c>
      <c r="D53" s="162">
        <v>44448</v>
      </c>
      <c r="E53" s="192">
        <v>33.700000000000003</v>
      </c>
      <c r="F53" s="147">
        <v>68</v>
      </c>
      <c r="G53" s="35">
        <f t="shared" si="46"/>
        <v>2291.6000000000004</v>
      </c>
      <c r="H53" s="35">
        <v>712</v>
      </c>
      <c r="I53" s="35">
        <v>1580</v>
      </c>
      <c r="J53" s="35">
        <f t="shared" si="47"/>
        <v>2292</v>
      </c>
      <c r="K53" s="35">
        <v>1026</v>
      </c>
      <c r="L53" s="35">
        <v>2142</v>
      </c>
      <c r="M53" s="35">
        <v>5334</v>
      </c>
      <c r="N53" s="35">
        <f t="shared" si="48"/>
        <v>7476</v>
      </c>
      <c r="O53" s="35">
        <v>214</v>
      </c>
      <c r="P53" s="35">
        <v>181</v>
      </c>
      <c r="Q53" s="147">
        <f t="shared" si="49"/>
        <v>8897</v>
      </c>
      <c r="R53" s="36">
        <f t="shared" si="56"/>
        <v>130.83823529411765</v>
      </c>
      <c r="S53" s="36">
        <f t="shared" si="57"/>
        <v>109.94117647058823</v>
      </c>
      <c r="T53" s="174">
        <f t="shared" si="52"/>
        <v>3.0084269662921348</v>
      </c>
      <c r="U53" s="174">
        <f t="shared" si="53"/>
        <v>3.3759493670886074</v>
      </c>
      <c r="V53" s="36">
        <f t="shared" si="58"/>
        <v>15.088235294117647</v>
      </c>
      <c r="W53" s="36">
        <f t="shared" si="59"/>
        <v>5.8088235294117645</v>
      </c>
    </row>
    <row r="54" spans="1:23" x14ac:dyDescent="0.25">
      <c r="A54" s="369"/>
      <c r="B54" s="33">
        <v>9</v>
      </c>
      <c r="C54" s="162">
        <v>44449</v>
      </c>
      <c r="D54" s="162">
        <v>44478</v>
      </c>
      <c r="E54" s="192">
        <v>33.700000000000003</v>
      </c>
      <c r="F54" s="147">
        <v>265</v>
      </c>
      <c r="G54" s="35">
        <f t="shared" si="46"/>
        <v>8930.5</v>
      </c>
      <c r="H54" s="35">
        <v>1414</v>
      </c>
      <c r="I54" s="35">
        <v>7517</v>
      </c>
      <c r="J54" s="35">
        <f t="shared" si="47"/>
        <v>8931</v>
      </c>
      <c r="K54" s="35">
        <v>1026</v>
      </c>
      <c r="L54" s="35">
        <v>4255</v>
      </c>
      <c r="M54" s="35">
        <v>25377</v>
      </c>
      <c r="N54" s="35">
        <f t="shared" si="48"/>
        <v>29632</v>
      </c>
      <c r="O54" s="35">
        <v>835</v>
      </c>
      <c r="P54" s="35">
        <v>707</v>
      </c>
      <c r="Q54" s="147">
        <f t="shared" si="49"/>
        <v>32200</v>
      </c>
      <c r="R54" s="36">
        <f t="shared" si="56"/>
        <v>121.50943396226415</v>
      </c>
      <c r="S54" s="36">
        <f t="shared" si="57"/>
        <v>111.81886792452831</v>
      </c>
      <c r="T54" s="174">
        <f t="shared" si="52"/>
        <v>3.009193776520509</v>
      </c>
      <c r="U54" s="174">
        <f t="shared" si="53"/>
        <v>3.3759478515365173</v>
      </c>
      <c r="V54" s="36">
        <f t="shared" si="58"/>
        <v>3.8716981132075472</v>
      </c>
      <c r="W54" s="36">
        <f t="shared" si="59"/>
        <v>5.8188679245283019</v>
      </c>
    </row>
    <row r="55" spans="1:23" x14ac:dyDescent="0.25">
      <c r="A55" s="369"/>
      <c r="B55" s="33">
        <v>10</v>
      </c>
      <c r="C55" s="162">
        <v>44479</v>
      </c>
      <c r="D55" s="162">
        <v>44509</v>
      </c>
      <c r="E55" s="192">
        <v>33.700000000000003</v>
      </c>
      <c r="F55" s="147">
        <v>702</v>
      </c>
      <c r="G55" s="35">
        <f t="shared" si="46"/>
        <v>23657.4</v>
      </c>
      <c r="H55" s="35">
        <v>3741</v>
      </c>
      <c r="I55" s="35">
        <v>19916</v>
      </c>
      <c r="J55" s="35">
        <f t="shared" si="47"/>
        <v>23657</v>
      </c>
      <c r="K55" s="35">
        <v>1026</v>
      </c>
      <c r="L55" s="35">
        <v>11257</v>
      </c>
      <c r="M55" s="35">
        <v>67236</v>
      </c>
      <c r="N55" s="35">
        <f t="shared" si="48"/>
        <v>78493</v>
      </c>
      <c r="O55" s="35">
        <v>2212</v>
      </c>
      <c r="P55" s="35">
        <v>1871</v>
      </c>
      <c r="Q55" s="147">
        <f t="shared" si="49"/>
        <v>83602</v>
      </c>
      <c r="R55" s="36">
        <f t="shared" si="56"/>
        <v>119.09116809116809</v>
      </c>
      <c r="S55" s="36">
        <f t="shared" si="57"/>
        <v>111.81339031339031</v>
      </c>
      <c r="T55" s="174">
        <f t="shared" si="52"/>
        <v>3.0090884790163059</v>
      </c>
      <c r="U55" s="174">
        <f t="shared" si="53"/>
        <v>3.3759791122715406</v>
      </c>
      <c r="V55" s="36">
        <f t="shared" si="58"/>
        <v>1.4615384615384615</v>
      </c>
      <c r="W55" s="36">
        <f t="shared" si="59"/>
        <v>5.816239316239316</v>
      </c>
    </row>
    <row r="56" spans="1:23" x14ac:dyDescent="0.25">
      <c r="A56" s="369"/>
      <c r="B56" s="33">
        <v>11</v>
      </c>
      <c r="C56" s="162">
        <v>44510</v>
      </c>
      <c r="D56" s="162">
        <v>44539</v>
      </c>
      <c r="E56" s="192">
        <v>33.700000000000003</v>
      </c>
      <c r="F56" s="147">
        <v>1034</v>
      </c>
      <c r="G56" s="35">
        <f t="shared" si="46"/>
        <v>34845.800000000003</v>
      </c>
      <c r="H56" s="35">
        <v>5565</v>
      </c>
      <c r="I56" s="35">
        <v>29281</v>
      </c>
      <c r="J56" s="35">
        <f t="shared" si="47"/>
        <v>34846</v>
      </c>
      <c r="K56" s="35">
        <v>1026</v>
      </c>
      <c r="L56" s="35">
        <v>16745</v>
      </c>
      <c r="M56" s="35">
        <v>98853</v>
      </c>
      <c r="N56" s="35">
        <f t="shared" si="48"/>
        <v>115598</v>
      </c>
      <c r="O56" s="35">
        <v>3258</v>
      </c>
      <c r="P56" s="35">
        <v>2757</v>
      </c>
      <c r="Q56" s="147">
        <f t="shared" si="49"/>
        <v>122639</v>
      </c>
      <c r="R56" s="36">
        <f t="shared" si="56"/>
        <v>118.6063829787234</v>
      </c>
      <c r="S56" s="36">
        <f t="shared" si="57"/>
        <v>111.79690522243713</v>
      </c>
      <c r="T56" s="174">
        <f t="shared" si="52"/>
        <v>3.008984725965858</v>
      </c>
      <c r="U56" s="174">
        <f t="shared" si="53"/>
        <v>3.3760117482326422</v>
      </c>
      <c r="V56" s="36">
        <f t="shared" si="58"/>
        <v>0.99226305609284338</v>
      </c>
      <c r="W56" s="36">
        <f t="shared" si="59"/>
        <v>5.817214700193424</v>
      </c>
    </row>
    <row r="57" spans="1:23" ht="15.75" thickBot="1" x14ac:dyDescent="0.3">
      <c r="A57" s="369"/>
      <c r="B57" s="33">
        <v>12</v>
      </c>
      <c r="C57" s="34">
        <v>44540</v>
      </c>
      <c r="D57" s="34">
        <v>44570</v>
      </c>
      <c r="E57" s="33">
        <v>33.700000000000003</v>
      </c>
      <c r="F57" s="147">
        <f>974+399</f>
        <v>1373</v>
      </c>
      <c r="G57" s="35">
        <f t="shared" si="46"/>
        <v>46270.100000000006</v>
      </c>
      <c r="H57" s="35">
        <f>5029+2315</f>
        <v>7344</v>
      </c>
      <c r="I57" s="35">
        <f>27688+11087</f>
        <v>38775</v>
      </c>
      <c r="J57" s="35">
        <f t="shared" si="47"/>
        <v>46119</v>
      </c>
      <c r="K57" s="35">
        <v>1026</v>
      </c>
      <c r="L57" s="35">
        <f>15132+6966</f>
        <v>22098</v>
      </c>
      <c r="M57" s="35">
        <f>93475+37430</f>
        <v>130905</v>
      </c>
      <c r="N57" s="35">
        <f t="shared" si="48"/>
        <v>153003</v>
      </c>
      <c r="O57" s="35">
        <v>4312</v>
      </c>
      <c r="P57" s="35">
        <v>3649</v>
      </c>
      <c r="Q57" s="147">
        <f t="shared" si="49"/>
        <v>161990</v>
      </c>
      <c r="R57" s="36">
        <f t="shared" si="56"/>
        <v>117.98252002913328</v>
      </c>
      <c r="S57" s="36">
        <f t="shared" si="57"/>
        <v>111.43699927166789</v>
      </c>
      <c r="T57" s="174">
        <f t="shared" si="52"/>
        <v>3.0089869281045751</v>
      </c>
      <c r="U57" s="174">
        <f t="shared" si="53"/>
        <v>3.3760154738878145</v>
      </c>
      <c r="V57" s="36">
        <f t="shared" si="58"/>
        <v>0.74726875455207575</v>
      </c>
      <c r="W57" s="36">
        <f t="shared" si="59"/>
        <v>5.7982520029133289</v>
      </c>
    </row>
    <row r="58" spans="1:23" ht="16.5" thickTop="1" thickBot="1" x14ac:dyDescent="0.3">
      <c r="A58" s="361" t="s">
        <v>6</v>
      </c>
      <c r="B58" s="362"/>
      <c r="C58" s="362"/>
      <c r="D58" s="363"/>
      <c r="E58" s="49" t="s">
        <v>28</v>
      </c>
      <c r="F58" s="40">
        <f>+F45+F46</f>
        <v>7267.4000000000005</v>
      </c>
      <c r="G58" s="40">
        <f t="shared" ref="G58:Q58" si="60">+G45+G46</f>
        <v>244395.28400000001</v>
      </c>
      <c r="H58" s="40">
        <f t="shared" si="60"/>
        <v>36323</v>
      </c>
      <c r="I58" s="40">
        <f t="shared" si="60"/>
        <v>208073</v>
      </c>
      <c r="J58" s="40">
        <f t="shared" si="60"/>
        <v>244396</v>
      </c>
      <c r="K58" s="40">
        <f t="shared" si="60"/>
        <v>12312</v>
      </c>
      <c r="L58" s="40">
        <f t="shared" si="60"/>
        <v>109296</v>
      </c>
      <c r="M58" s="40">
        <f t="shared" si="60"/>
        <v>702455</v>
      </c>
      <c r="N58" s="40">
        <f t="shared" si="60"/>
        <v>811751</v>
      </c>
      <c r="O58" s="40">
        <f t="shared" si="60"/>
        <v>22851</v>
      </c>
      <c r="P58" s="40">
        <f t="shared" si="60"/>
        <v>19335</v>
      </c>
      <c r="Q58" s="40">
        <f t="shared" si="60"/>
        <v>866249</v>
      </c>
      <c r="R58" s="41">
        <f t="shared" si="50"/>
        <v>119.19654897212207</v>
      </c>
      <c r="S58" s="41">
        <f t="shared" si="51"/>
        <v>111.69758097806643</v>
      </c>
      <c r="T58" s="175">
        <f t="shared" si="52"/>
        <v>3.0090025603612038</v>
      </c>
      <c r="U58" s="175">
        <f t="shared" si="53"/>
        <v>3.3760026529150826</v>
      </c>
      <c r="V58" s="41">
        <f t="shared" si="54"/>
        <v>1.6941409582519193</v>
      </c>
      <c r="W58" s="41">
        <f t="shared" si="55"/>
        <v>5.8048270358037257</v>
      </c>
    </row>
    <row r="59" spans="1:23" ht="33" thickTop="1" x14ac:dyDescent="0.25">
      <c r="A59" s="98" t="s">
        <v>86</v>
      </c>
      <c r="B59" s="355" t="s">
        <v>294</v>
      </c>
      <c r="C59" s="355"/>
      <c r="D59" s="355"/>
      <c r="E59" s="42" t="s">
        <v>180</v>
      </c>
      <c r="F59" s="43" t="s">
        <v>28</v>
      </c>
      <c r="G59" s="43"/>
      <c r="H59" s="43"/>
      <c r="I59" s="43"/>
      <c r="J59" s="43"/>
      <c r="K59" s="43" t="s">
        <v>295</v>
      </c>
      <c r="L59" s="371" t="s">
        <v>297</v>
      </c>
      <c r="M59" s="371"/>
      <c r="N59" s="169"/>
      <c r="O59" s="370" t="s">
        <v>182</v>
      </c>
      <c r="P59" s="370"/>
      <c r="Q59" s="370"/>
      <c r="R59" s="370"/>
      <c r="S59" s="44"/>
      <c r="T59" s="44"/>
      <c r="U59" s="44"/>
      <c r="V59" s="44"/>
      <c r="W59" s="44"/>
    </row>
    <row r="60" spans="1:23" ht="15.75" thickBot="1" x14ac:dyDescent="0.3"/>
    <row r="61" spans="1:23" ht="27" customHeight="1" thickTop="1" thickBot="1" x14ac:dyDescent="0.3">
      <c r="A61" s="364" t="s">
        <v>64</v>
      </c>
      <c r="B61" s="366" t="s">
        <v>0</v>
      </c>
      <c r="C61" s="360" t="s">
        <v>5</v>
      </c>
      <c r="D61" s="360"/>
      <c r="E61" s="360" t="s">
        <v>65</v>
      </c>
      <c r="F61" s="357" t="s">
        <v>2</v>
      </c>
      <c r="G61" s="358"/>
      <c r="H61" s="358"/>
      <c r="I61" s="358"/>
      <c r="J61" s="359"/>
      <c r="K61" s="357" t="s">
        <v>308</v>
      </c>
      <c r="L61" s="358"/>
      <c r="M61" s="358"/>
      <c r="N61" s="358"/>
      <c r="O61" s="358"/>
      <c r="P61" s="358"/>
      <c r="Q61" s="358"/>
      <c r="R61" s="357" t="s">
        <v>66</v>
      </c>
      <c r="S61" s="358"/>
      <c r="T61" s="358"/>
      <c r="U61" s="358"/>
      <c r="V61" s="358"/>
      <c r="W61" s="359"/>
    </row>
    <row r="62" spans="1:23" ht="46.5" thickTop="1" thickBot="1" x14ac:dyDescent="0.3">
      <c r="A62" s="365"/>
      <c r="B62" s="367"/>
      <c r="C62" s="171" t="s">
        <v>3</v>
      </c>
      <c r="D62" s="171" t="s">
        <v>4</v>
      </c>
      <c r="E62" s="360"/>
      <c r="F62" s="171" t="s">
        <v>306</v>
      </c>
      <c r="G62" s="171" t="s">
        <v>307</v>
      </c>
      <c r="H62" s="171" t="s">
        <v>314</v>
      </c>
      <c r="I62" s="171" t="s">
        <v>315</v>
      </c>
      <c r="J62" s="171" t="s">
        <v>316</v>
      </c>
      <c r="K62" s="171" t="s">
        <v>271</v>
      </c>
      <c r="L62" s="171" t="s">
        <v>272</v>
      </c>
      <c r="M62" s="171" t="s">
        <v>273</v>
      </c>
      <c r="N62" s="167" t="s">
        <v>274</v>
      </c>
      <c r="O62" s="167" t="s">
        <v>379</v>
      </c>
      <c r="P62" s="167" t="s">
        <v>26</v>
      </c>
      <c r="Q62" s="167" t="s">
        <v>275</v>
      </c>
      <c r="R62" s="170" t="s">
        <v>6</v>
      </c>
      <c r="S62" s="170" t="s">
        <v>21</v>
      </c>
      <c r="T62" s="170" t="s">
        <v>280</v>
      </c>
      <c r="U62" s="170" t="s">
        <v>281</v>
      </c>
      <c r="V62" s="170" t="s">
        <v>20</v>
      </c>
      <c r="W62" s="170" t="s">
        <v>27</v>
      </c>
    </row>
    <row r="63" spans="1:23" ht="78.75" customHeight="1" thickTop="1" thickBot="1" x14ac:dyDescent="0.3">
      <c r="A63" s="168" t="s">
        <v>302</v>
      </c>
      <c r="B63" s="76">
        <v>1</v>
      </c>
      <c r="C63" s="78">
        <v>44197</v>
      </c>
      <c r="D63" s="78">
        <v>44561</v>
      </c>
      <c r="E63" s="76" t="s">
        <v>28</v>
      </c>
      <c r="F63" s="163">
        <f t="shared" ref="F63:Q63" si="61">+F58+F40+F23+F6</f>
        <v>10848.36</v>
      </c>
      <c r="G63" s="86">
        <f t="shared" si="61"/>
        <v>365100.26560000004</v>
      </c>
      <c r="H63" s="86">
        <f t="shared" si="61"/>
        <v>112917</v>
      </c>
      <c r="I63" s="86">
        <f t="shared" si="61"/>
        <v>252185</v>
      </c>
      <c r="J63" s="86">
        <f t="shared" si="61"/>
        <v>365102</v>
      </c>
      <c r="K63" s="86">
        <f t="shared" si="61"/>
        <v>48222</v>
      </c>
      <c r="L63" s="86">
        <f t="shared" si="61"/>
        <v>339768</v>
      </c>
      <c r="M63" s="86">
        <f t="shared" si="61"/>
        <v>851377</v>
      </c>
      <c r="N63" s="86">
        <f t="shared" si="61"/>
        <v>1191145</v>
      </c>
      <c r="O63" s="86">
        <f t="shared" si="61"/>
        <v>34137</v>
      </c>
      <c r="P63" s="86">
        <f t="shared" si="61"/>
        <v>28886</v>
      </c>
      <c r="Q63" s="86">
        <f t="shared" si="61"/>
        <v>1302390</v>
      </c>
      <c r="R63" s="93">
        <f>+Q63/F63</f>
        <v>120.05409112529451</v>
      </c>
      <c r="S63" s="93">
        <f>+N63/F63</f>
        <v>109.79954573778893</v>
      </c>
      <c r="T63" s="179">
        <f>+L63/H63</f>
        <v>3.0090066154786257</v>
      </c>
      <c r="U63" s="179">
        <f>+M63/I63</f>
        <v>3.3760017447508774</v>
      </c>
      <c r="V63" s="93">
        <f>+K63/F63</f>
        <v>4.4450958485890952</v>
      </c>
      <c r="W63" s="93">
        <f>+(O63+P63)/F63</f>
        <v>5.8094495389164811</v>
      </c>
    </row>
    <row r="64" spans="1:23" ht="16.5" thickTop="1" thickBot="1" x14ac:dyDescent="0.3">
      <c r="A64" s="361" t="s">
        <v>6</v>
      </c>
      <c r="B64" s="362"/>
      <c r="C64" s="362"/>
      <c r="D64" s="363"/>
      <c r="E64" s="49" t="s">
        <v>28</v>
      </c>
      <c r="F64" s="40">
        <f t="shared" ref="F64:Q64" si="62">SUM(F63:F63)</f>
        <v>10848.36</v>
      </c>
      <c r="G64" s="40">
        <f t="shared" si="62"/>
        <v>365100.26560000004</v>
      </c>
      <c r="H64" s="40">
        <f t="shared" si="62"/>
        <v>112917</v>
      </c>
      <c r="I64" s="40">
        <f t="shared" si="62"/>
        <v>252185</v>
      </c>
      <c r="J64" s="40">
        <f t="shared" si="62"/>
        <v>365102</v>
      </c>
      <c r="K64" s="40">
        <f t="shared" si="62"/>
        <v>48222</v>
      </c>
      <c r="L64" s="40">
        <f t="shared" si="62"/>
        <v>339768</v>
      </c>
      <c r="M64" s="40">
        <f t="shared" si="62"/>
        <v>851377</v>
      </c>
      <c r="N64" s="40">
        <f t="shared" si="62"/>
        <v>1191145</v>
      </c>
      <c r="O64" s="40">
        <f t="shared" si="62"/>
        <v>34137</v>
      </c>
      <c r="P64" s="40">
        <f t="shared" si="62"/>
        <v>28886</v>
      </c>
      <c r="Q64" s="40">
        <f t="shared" si="62"/>
        <v>1302390</v>
      </c>
      <c r="R64" s="41">
        <f t="shared" ref="R64" si="63">+Q64/F64</f>
        <v>120.05409112529451</v>
      </c>
      <c r="S64" s="41">
        <f t="shared" ref="S64" si="64">+N64/F64</f>
        <v>109.79954573778893</v>
      </c>
      <c r="T64" s="175">
        <f t="shared" ref="T64" si="65">+L64/H64</f>
        <v>3.0090066154786257</v>
      </c>
      <c r="U64" s="175">
        <f t="shared" ref="U64" si="66">+M64/I64</f>
        <v>3.3760017447508774</v>
      </c>
      <c r="V64" s="41">
        <f t="shared" ref="V64" si="67">+K64/F64</f>
        <v>4.4450958485890952</v>
      </c>
      <c r="W64" s="41">
        <f t="shared" ref="W64" si="68">+(O64+P64)/F64</f>
        <v>5.8094495389164811</v>
      </c>
    </row>
    <row r="65" spans="1:23" ht="15.75" thickTop="1" x14ac:dyDescent="0.25"/>
    <row r="66" spans="1:23" ht="15.75" thickBot="1" x14ac:dyDescent="0.3"/>
    <row r="67" spans="1:23" ht="32.25" customHeight="1" thickTop="1" thickBot="1" x14ac:dyDescent="0.3">
      <c r="A67" s="376" t="s">
        <v>64</v>
      </c>
      <c r="B67" s="378" t="s">
        <v>0</v>
      </c>
      <c r="C67" s="375" t="s">
        <v>5</v>
      </c>
      <c r="D67" s="375"/>
      <c r="E67" s="375" t="s">
        <v>65</v>
      </c>
      <c r="F67" s="372" t="s">
        <v>2</v>
      </c>
      <c r="G67" s="373"/>
      <c r="H67" s="373"/>
      <c r="I67" s="373"/>
      <c r="J67" s="374"/>
      <c r="K67" s="372" t="s">
        <v>13</v>
      </c>
      <c r="L67" s="373"/>
      <c r="M67" s="373"/>
      <c r="N67" s="373"/>
      <c r="O67" s="373"/>
      <c r="P67" s="373"/>
      <c r="Q67" s="373"/>
      <c r="R67" s="372" t="s">
        <v>66</v>
      </c>
      <c r="S67" s="373"/>
      <c r="T67" s="373"/>
      <c r="U67" s="373"/>
      <c r="V67" s="373"/>
      <c r="W67" s="374"/>
    </row>
    <row r="68" spans="1:23" ht="46.5" thickTop="1" thickBot="1" x14ac:dyDescent="0.3">
      <c r="A68" s="377"/>
      <c r="B68" s="379"/>
      <c r="C68" s="220" t="s">
        <v>3</v>
      </c>
      <c r="D68" s="220" t="s">
        <v>4</v>
      </c>
      <c r="E68" s="375"/>
      <c r="F68" s="220" t="s">
        <v>67</v>
      </c>
      <c r="G68" s="220" t="s">
        <v>1</v>
      </c>
      <c r="H68" s="220" t="s">
        <v>277</v>
      </c>
      <c r="I68" s="220" t="s">
        <v>278</v>
      </c>
      <c r="J68" s="220" t="s">
        <v>279</v>
      </c>
      <c r="K68" s="220" t="s">
        <v>271</v>
      </c>
      <c r="L68" s="220" t="s">
        <v>272</v>
      </c>
      <c r="M68" s="220" t="s">
        <v>273</v>
      </c>
      <c r="N68" s="221" t="s">
        <v>274</v>
      </c>
      <c r="O68" s="221" t="s">
        <v>379</v>
      </c>
      <c r="P68" s="221" t="s">
        <v>26</v>
      </c>
      <c r="Q68" s="221" t="s">
        <v>275</v>
      </c>
      <c r="R68" s="222" t="s">
        <v>6</v>
      </c>
      <c r="S68" s="222" t="s">
        <v>21</v>
      </c>
      <c r="T68" s="222" t="s">
        <v>280</v>
      </c>
      <c r="U68" s="222" t="s">
        <v>281</v>
      </c>
      <c r="V68" s="222" t="s">
        <v>20</v>
      </c>
      <c r="W68" s="222" t="s">
        <v>27</v>
      </c>
    </row>
    <row r="69" spans="1:23" ht="66.75" customHeight="1" thickTop="1" thickBot="1" x14ac:dyDescent="0.3">
      <c r="A69" s="314" t="s">
        <v>340</v>
      </c>
      <c r="B69" s="149">
        <v>1</v>
      </c>
      <c r="C69" s="177">
        <v>44197</v>
      </c>
      <c r="D69" s="177">
        <v>44561</v>
      </c>
      <c r="E69" s="315">
        <f>+G69/F69</f>
        <v>33.654881069581023</v>
      </c>
      <c r="F69" s="316">
        <f>+F45+F46+F47+F28+F29+F39+F11+F12+F13+F14+F15+F16+F17+F18+F19+F20+F21+F4+F5</f>
        <v>10848.36</v>
      </c>
      <c r="G69" s="128">
        <f t="shared" ref="G69:Q69" si="69">+G45+G46+G47+G28+G29+G39+G11+G12+G13+G14+G15+G16+G17+G18+G19+G20+G21+G4+G5</f>
        <v>365100.26560000004</v>
      </c>
      <c r="H69" s="317">
        <f t="shared" si="69"/>
        <v>112917</v>
      </c>
      <c r="I69" s="317">
        <f t="shared" si="69"/>
        <v>252185</v>
      </c>
      <c r="J69" s="317">
        <f t="shared" si="69"/>
        <v>365102</v>
      </c>
      <c r="K69" s="317">
        <f t="shared" si="69"/>
        <v>48222</v>
      </c>
      <c r="L69" s="317">
        <f t="shared" si="69"/>
        <v>339768</v>
      </c>
      <c r="M69" s="317">
        <f t="shared" si="69"/>
        <v>851377</v>
      </c>
      <c r="N69" s="317">
        <f t="shared" si="69"/>
        <v>1191145</v>
      </c>
      <c r="O69" s="317">
        <f t="shared" si="69"/>
        <v>34137</v>
      </c>
      <c r="P69" s="317">
        <f t="shared" si="69"/>
        <v>28886</v>
      </c>
      <c r="Q69" s="316">
        <f t="shared" si="69"/>
        <v>1302390</v>
      </c>
      <c r="R69" s="150">
        <f>+Q69/F69</f>
        <v>120.05409112529451</v>
      </c>
      <c r="S69" s="150">
        <f>+N69/F69</f>
        <v>109.79954573778893</v>
      </c>
      <c r="T69" s="318">
        <f>+L69/H69</f>
        <v>3.0090066154786257</v>
      </c>
      <c r="U69" s="318">
        <f>+M69/I69</f>
        <v>3.3760017447508774</v>
      </c>
      <c r="V69" s="150">
        <f>+K69/F69</f>
        <v>4.4450958485890952</v>
      </c>
      <c r="W69" s="150">
        <f>+(O69+P69)/F69</f>
        <v>5.8094495389164811</v>
      </c>
    </row>
    <row r="70" spans="1:23" ht="16.5" thickTop="1" thickBot="1" x14ac:dyDescent="0.3">
      <c r="A70" s="361" t="s">
        <v>6</v>
      </c>
      <c r="B70" s="362"/>
      <c r="C70" s="362"/>
      <c r="D70" s="363"/>
      <c r="E70" s="49" t="s">
        <v>28</v>
      </c>
      <c r="F70" s="40">
        <f t="shared" ref="F70:Q70" si="70">SUM(F69:F69)</f>
        <v>10848.36</v>
      </c>
      <c r="G70" s="40">
        <f t="shared" si="70"/>
        <v>365100.26560000004</v>
      </c>
      <c r="H70" s="40">
        <f t="shared" si="70"/>
        <v>112917</v>
      </c>
      <c r="I70" s="40">
        <f t="shared" si="70"/>
        <v>252185</v>
      </c>
      <c r="J70" s="40">
        <f t="shared" si="70"/>
        <v>365102</v>
      </c>
      <c r="K70" s="40">
        <f t="shared" si="70"/>
        <v>48222</v>
      </c>
      <c r="L70" s="40">
        <f t="shared" si="70"/>
        <v>339768</v>
      </c>
      <c r="M70" s="40">
        <f t="shared" si="70"/>
        <v>851377</v>
      </c>
      <c r="N70" s="40">
        <f t="shared" si="70"/>
        <v>1191145</v>
      </c>
      <c r="O70" s="40">
        <f t="shared" si="70"/>
        <v>34137</v>
      </c>
      <c r="P70" s="40">
        <f t="shared" si="70"/>
        <v>28886</v>
      </c>
      <c r="Q70" s="40">
        <f t="shared" si="70"/>
        <v>1302390</v>
      </c>
      <c r="R70" s="41">
        <f t="shared" ref="R70" si="71">+Q70/F70</f>
        <v>120.05409112529451</v>
      </c>
      <c r="S70" s="41">
        <f t="shared" ref="S70" si="72">+N70/F70</f>
        <v>109.79954573778893</v>
      </c>
      <c r="T70" s="175">
        <f t="shared" ref="T70" si="73">+L70/H70</f>
        <v>3.0090066154786257</v>
      </c>
      <c r="U70" s="175">
        <f t="shared" ref="U70" si="74">+M70/I70</f>
        <v>3.3760017447508774</v>
      </c>
      <c r="V70" s="41">
        <f t="shared" ref="V70" si="75">+K70/F70</f>
        <v>4.4450958485890952</v>
      </c>
      <c r="W70" s="41">
        <f t="shared" ref="W70" si="76">+(O70+P70)/F70</f>
        <v>5.8094495389164811</v>
      </c>
    </row>
    <row r="71" spans="1:23" ht="15.75" thickTop="1" x14ac:dyDescent="0.25"/>
  </sheetData>
  <mergeCells count="66">
    <mergeCell ref="K67:Q67"/>
    <mergeCell ref="R67:W67"/>
    <mergeCell ref="A70:D70"/>
    <mergeCell ref="A67:A68"/>
    <mergeCell ref="B67:B68"/>
    <mergeCell ref="C67:D67"/>
    <mergeCell ref="E67:E68"/>
    <mergeCell ref="F67:J67"/>
    <mergeCell ref="K61:Q61"/>
    <mergeCell ref="R61:W61"/>
    <mergeCell ref="A64:D64"/>
    <mergeCell ref="A61:A62"/>
    <mergeCell ref="B61:B62"/>
    <mergeCell ref="C61:D61"/>
    <mergeCell ref="E61:E62"/>
    <mergeCell ref="F61:J61"/>
    <mergeCell ref="K43:Q43"/>
    <mergeCell ref="R43:W43"/>
    <mergeCell ref="A45:A57"/>
    <mergeCell ref="A58:D58"/>
    <mergeCell ref="B59:D59"/>
    <mergeCell ref="L59:M59"/>
    <mergeCell ref="O59:R59"/>
    <mergeCell ref="A43:A44"/>
    <mergeCell ref="B43:B44"/>
    <mergeCell ref="C43:D43"/>
    <mergeCell ref="E43:E44"/>
    <mergeCell ref="F43:J43"/>
    <mergeCell ref="A1:S1"/>
    <mergeCell ref="V1:W1"/>
    <mergeCell ref="A2:A3"/>
    <mergeCell ref="B2:B3"/>
    <mergeCell ref="C2:D2"/>
    <mergeCell ref="E2:E3"/>
    <mergeCell ref="F2:J2"/>
    <mergeCell ref="K2:Q2"/>
    <mergeCell ref="R2:W2"/>
    <mergeCell ref="A4:A5"/>
    <mergeCell ref="A6:D6"/>
    <mergeCell ref="B7:D7"/>
    <mergeCell ref="L7:M7"/>
    <mergeCell ref="O7:R7"/>
    <mergeCell ref="K9:Q9"/>
    <mergeCell ref="R9:W9"/>
    <mergeCell ref="A11:A22"/>
    <mergeCell ref="A23:D23"/>
    <mergeCell ref="B24:D24"/>
    <mergeCell ref="L24:M24"/>
    <mergeCell ref="O24:R24"/>
    <mergeCell ref="A9:A10"/>
    <mergeCell ref="B9:B10"/>
    <mergeCell ref="C9:D9"/>
    <mergeCell ref="E9:E10"/>
    <mergeCell ref="F9:J9"/>
    <mergeCell ref="R26:W26"/>
    <mergeCell ref="A28:A39"/>
    <mergeCell ref="A40:D40"/>
    <mergeCell ref="B41:D41"/>
    <mergeCell ref="L41:M41"/>
    <mergeCell ref="O41:R41"/>
    <mergeCell ref="A26:A27"/>
    <mergeCell ref="B26:B27"/>
    <mergeCell ref="C26:D26"/>
    <mergeCell ref="E26:E27"/>
    <mergeCell ref="F26:J26"/>
    <mergeCell ref="K26:Q26"/>
  </mergeCells>
  <pageMargins left="0.31496062992125984" right="0.31496062992125984" top="0.15748031496062992" bottom="0.35433070866141736" header="0.31496062992125984" footer="0.31496062992125984"/>
  <pageSetup paperSize="9" scale="57" fitToHeight="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opLeftCell="A70" workbookViewId="0">
      <selection activeCell="M66" sqref="M66"/>
    </sheetView>
  </sheetViews>
  <sheetFormatPr defaultRowHeight="14.25" x14ac:dyDescent="0.2"/>
  <cols>
    <col min="1" max="1" width="8.7109375" style="25" customWidth="1"/>
    <col min="2" max="2" width="6.42578125" style="25" customWidth="1"/>
    <col min="3" max="3" width="13.5703125" style="25" customWidth="1"/>
    <col min="4" max="4" width="13.140625" style="25" customWidth="1"/>
    <col min="5" max="5" width="13.28515625" style="25" customWidth="1"/>
    <col min="6" max="6" width="14.28515625" style="25" customWidth="1"/>
    <col min="7" max="7" width="13.7109375" style="25" customWidth="1"/>
    <col min="8" max="8" width="15" style="25" customWidth="1"/>
    <col min="9" max="9" width="11.7109375" style="25" customWidth="1"/>
    <col min="10" max="11" width="13.5703125" style="25" customWidth="1"/>
    <col min="12" max="12" width="11.140625" style="25" customWidth="1"/>
    <col min="13" max="13" width="13.7109375" style="25" customWidth="1"/>
    <col min="14" max="14" width="12.5703125" style="25" customWidth="1"/>
    <col min="15" max="15" width="11.42578125" style="25" customWidth="1"/>
    <col min="16" max="16" width="11" style="25" customWidth="1"/>
    <col min="17" max="17" width="9.7109375" style="25" customWidth="1"/>
    <col min="18" max="18" width="9.140625" style="25"/>
    <col min="19" max="19" width="10.7109375" style="25" bestFit="1" customWidth="1"/>
    <col min="20" max="16384" width="9.140625" style="25"/>
  </cols>
  <sheetData>
    <row r="1" spans="1:17" ht="21.75" customHeight="1" thickBot="1" x14ac:dyDescent="0.25">
      <c r="A1" s="356" t="s">
        <v>270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 t="s">
        <v>268</v>
      </c>
      <c r="Q1" s="356"/>
    </row>
    <row r="2" spans="1:17" ht="42.75" customHeight="1" thickTop="1" thickBot="1" x14ac:dyDescent="0.25">
      <c r="A2" s="364" t="s">
        <v>64</v>
      </c>
      <c r="B2" s="366" t="s">
        <v>0</v>
      </c>
      <c r="C2" s="360" t="s">
        <v>5</v>
      </c>
      <c r="D2" s="360"/>
      <c r="E2" s="360" t="s">
        <v>65</v>
      </c>
      <c r="F2" s="360" t="s">
        <v>2</v>
      </c>
      <c r="G2" s="360"/>
      <c r="H2" s="357" t="s">
        <v>13</v>
      </c>
      <c r="I2" s="358"/>
      <c r="J2" s="358"/>
      <c r="K2" s="358"/>
      <c r="L2" s="358"/>
      <c r="M2" s="358"/>
      <c r="N2" s="357" t="s">
        <v>66</v>
      </c>
      <c r="O2" s="358"/>
      <c r="P2" s="358"/>
      <c r="Q2" s="359"/>
    </row>
    <row r="3" spans="1:17" ht="51.75" customHeight="1" thickTop="1" thickBot="1" x14ac:dyDescent="0.25">
      <c r="A3" s="365"/>
      <c r="B3" s="367"/>
      <c r="C3" s="65" t="s">
        <v>3</v>
      </c>
      <c r="D3" s="65" t="s">
        <v>4</v>
      </c>
      <c r="E3" s="360"/>
      <c r="F3" s="65" t="s">
        <v>67</v>
      </c>
      <c r="G3" s="65" t="s">
        <v>1</v>
      </c>
      <c r="H3" s="65" t="s">
        <v>429</v>
      </c>
      <c r="I3" s="65" t="s">
        <v>15</v>
      </c>
      <c r="J3" s="65" t="s">
        <v>16</v>
      </c>
      <c r="K3" s="63" t="s">
        <v>431</v>
      </c>
      <c r="L3" s="63" t="s">
        <v>26</v>
      </c>
      <c r="M3" s="63" t="s">
        <v>19</v>
      </c>
      <c r="N3" s="64" t="s">
        <v>6</v>
      </c>
      <c r="O3" s="64" t="s">
        <v>21</v>
      </c>
      <c r="P3" s="64" t="s">
        <v>20</v>
      </c>
      <c r="Q3" s="64" t="s">
        <v>27</v>
      </c>
    </row>
    <row r="4" spans="1:17" ht="15.75" customHeight="1" thickTop="1" x14ac:dyDescent="0.2">
      <c r="A4" s="368" t="s">
        <v>185</v>
      </c>
      <c r="B4" s="29">
        <v>1</v>
      </c>
      <c r="C4" s="30">
        <v>44197</v>
      </c>
      <c r="D4" s="30">
        <v>44227</v>
      </c>
      <c r="E4" s="29">
        <v>34.042299999999997</v>
      </c>
      <c r="F4" s="146">
        <v>5954.98</v>
      </c>
      <c r="G4" s="31">
        <f>+F4*E4</f>
        <v>202721.21565399997</v>
      </c>
      <c r="H4" s="35">
        <v>81467</v>
      </c>
      <c r="I4" s="31">
        <v>9325</v>
      </c>
      <c r="J4" s="31">
        <v>315839</v>
      </c>
      <c r="K4" s="31">
        <v>18944</v>
      </c>
      <c r="L4" s="31">
        <v>16031</v>
      </c>
      <c r="M4" s="146">
        <f>+L4+K4+J4+I4+H4</f>
        <v>441606</v>
      </c>
      <c r="N4" s="32">
        <f>+M4/F4</f>
        <v>74.157427900681455</v>
      </c>
      <c r="O4" s="32">
        <f>+J4/F4</f>
        <v>53.037793577812188</v>
      </c>
      <c r="P4" s="32">
        <f>+(H4+I4)/F4</f>
        <v>15.246398812422544</v>
      </c>
      <c r="Q4" s="32">
        <f>+(K4+L4)/F4</f>
        <v>5.8732355104467189</v>
      </c>
    </row>
    <row r="5" spans="1:17" x14ac:dyDescent="0.2">
      <c r="A5" s="369"/>
      <c r="B5" s="33">
        <v>2</v>
      </c>
      <c r="C5" s="34">
        <v>44228</v>
      </c>
      <c r="D5" s="34">
        <v>44255</v>
      </c>
      <c r="E5" s="33">
        <v>33.796399999999998</v>
      </c>
      <c r="F5" s="147">
        <v>4951.8059999999996</v>
      </c>
      <c r="G5" s="35">
        <f>+F5*E5</f>
        <v>167353.21629839999</v>
      </c>
      <c r="H5" s="35">
        <v>81467</v>
      </c>
      <c r="I5" s="35">
        <v>7698</v>
      </c>
      <c r="J5" s="35">
        <v>260736</v>
      </c>
      <c r="K5" s="35">
        <v>15637</v>
      </c>
      <c r="L5" s="35">
        <v>13231</v>
      </c>
      <c r="M5" s="147">
        <f t="shared" ref="M5:M15" si="0">+L5+K5+J5+I5+H5</f>
        <v>378769</v>
      </c>
      <c r="N5" s="36">
        <f t="shared" ref="N5:N16" si="1">+M5/F5</f>
        <v>76.491082243528936</v>
      </c>
      <c r="O5" s="36">
        <f t="shared" ref="O5:O16" si="2">+J5/F5</f>
        <v>52.654728396063987</v>
      </c>
      <c r="P5" s="36">
        <f t="shared" ref="P5:P16" si="3">+(H5+I5)/F5</f>
        <v>18.006561646397294</v>
      </c>
      <c r="Q5" s="36">
        <f t="shared" ref="Q5:Q16" si="4">+(K5+L5)/F5</f>
        <v>5.8297922010676517</v>
      </c>
    </row>
    <row r="6" spans="1:17" x14ac:dyDescent="0.2">
      <c r="A6" s="369"/>
      <c r="B6" s="33">
        <v>3</v>
      </c>
      <c r="C6" s="34">
        <v>44256</v>
      </c>
      <c r="D6" s="34">
        <v>44286</v>
      </c>
      <c r="E6" s="33">
        <v>33.645000000000003</v>
      </c>
      <c r="F6" s="147">
        <v>2070.395</v>
      </c>
      <c r="G6" s="35">
        <f t="shared" ref="G6:G15" si="5">+F6*E6</f>
        <v>69658.439775000006</v>
      </c>
      <c r="H6" s="35">
        <v>81467</v>
      </c>
      <c r="I6" s="35">
        <v>3204</v>
      </c>
      <c r="J6" s="35">
        <v>108527</v>
      </c>
      <c r="K6" s="35">
        <v>6509</v>
      </c>
      <c r="L6" s="35">
        <v>5509</v>
      </c>
      <c r="M6" s="147">
        <f t="shared" si="0"/>
        <v>205216</v>
      </c>
      <c r="N6" s="36">
        <f t="shared" si="1"/>
        <v>99.119250191388602</v>
      </c>
      <c r="O6" s="36">
        <f t="shared" si="2"/>
        <v>52.41849985147762</v>
      </c>
      <c r="P6" s="36">
        <f t="shared" si="3"/>
        <v>40.896060896592196</v>
      </c>
      <c r="Q6" s="36">
        <f t="shared" si="4"/>
        <v>5.8046894433187868</v>
      </c>
    </row>
    <row r="7" spans="1:17" x14ac:dyDescent="0.2">
      <c r="A7" s="369"/>
      <c r="B7" s="33">
        <v>4</v>
      </c>
      <c r="C7" s="34">
        <v>44287</v>
      </c>
      <c r="D7" s="34">
        <v>44316</v>
      </c>
      <c r="E7" s="33">
        <v>33.488999999999997</v>
      </c>
      <c r="F7" s="147">
        <v>1685.336</v>
      </c>
      <c r="G7" s="35">
        <f t="shared" si="5"/>
        <v>56440.217303999998</v>
      </c>
      <c r="H7" s="35">
        <v>81467</v>
      </c>
      <c r="I7" s="35">
        <v>2596</v>
      </c>
      <c r="J7" s="35">
        <v>87934</v>
      </c>
      <c r="K7" s="35">
        <v>5274</v>
      </c>
      <c r="L7" s="35">
        <v>4463</v>
      </c>
      <c r="M7" s="147">
        <f t="shared" si="0"/>
        <v>181734</v>
      </c>
      <c r="N7" s="36">
        <f t="shared" si="1"/>
        <v>107.83250342958318</v>
      </c>
      <c r="O7" s="36">
        <f t="shared" si="2"/>
        <v>52.175945924136194</v>
      </c>
      <c r="P7" s="36">
        <f t="shared" si="3"/>
        <v>49.879074558426332</v>
      </c>
      <c r="Q7" s="36">
        <f t="shared" si="4"/>
        <v>5.777482947020653</v>
      </c>
    </row>
    <row r="8" spans="1:17" x14ac:dyDescent="0.2">
      <c r="A8" s="369"/>
      <c r="B8" s="33">
        <v>5</v>
      </c>
      <c r="C8" s="34">
        <v>44317</v>
      </c>
      <c r="D8" s="34">
        <v>44347</v>
      </c>
      <c r="E8" s="33">
        <v>33.529800000000002</v>
      </c>
      <c r="F8" s="147">
        <v>713.91800000000001</v>
      </c>
      <c r="G8" s="35">
        <f t="shared" si="5"/>
        <v>23937.527756400003</v>
      </c>
      <c r="H8" s="35">
        <v>81467</v>
      </c>
      <c r="I8" s="35">
        <v>1101</v>
      </c>
      <c r="J8" s="35">
        <v>37295</v>
      </c>
      <c r="K8" s="35">
        <v>2237</v>
      </c>
      <c r="L8" s="35">
        <v>1892</v>
      </c>
      <c r="M8" s="147">
        <f t="shared" si="0"/>
        <v>123992</v>
      </c>
      <c r="N8" s="36">
        <f t="shared" si="1"/>
        <v>173.67820954227236</v>
      </c>
      <c r="O8" s="36">
        <f t="shared" si="2"/>
        <v>52.23989309696632</v>
      </c>
      <c r="P8" s="36">
        <f t="shared" si="3"/>
        <v>115.65473905966792</v>
      </c>
      <c r="Q8" s="36">
        <f t="shared" si="4"/>
        <v>5.7835773856381261</v>
      </c>
    </row>
    <row r="9" spans="1:17" x14ac:dyDescent="0.2">
      <c r="A9" s="369"/>
      <c r="B9" s="33">
        <v>6</v>
      </c>
      <c r="C9" s="34">
        <v>44348</v>
      </c>
      <c r="D9" s="34">
        <v>44377</v>
      </c>
      <c r="E9" s="33">
        <v>33.463000000000001</v>
      </c>
      <c r="F9" s="147">
        <v>106.967</v>
      </c>
      <c r="G9" s="35">
        <f t="shared" si="5"/>
        <v>3579.436721</v>
      </c>
      <c r="H9" s="35">
        <v>81467</v>
      </c>
      <c r="I9" s="35">
        <v>165</v>
      </c>
      <c r="J9" s="35">
        <v>5576</v>
      </c>
      <c r="K9" s="35">
        <v>334</v>
      </c>
      <c r="L9" s="35">
        <v>283</v>
      </c>
      <c r="M9" s="147">
        <f t="shared" si="0"/>
        <v>87825</v>
      </c>
      <c r="N9" s="36">
        <f t="shared" si="1"/>
        <v>821.04761281516733</v>
      </c>
      <c r="O9" s="36">
        <f t="shared" si="2"/>
        <v>52.128226462366896</v>
      </c>
      <c r="P9" s="36">
        <f t="shared" si="3"/>
        <v>763.15125225536849</v>
      </c>
      <c r="Q9" s="36">
        <f t="shared" si="4"/>
        <v>5.7681340974319184</v>
      </c>
    </row>
    <row r="10" spans="1:17" x14ac:dyDescent="0.2">
      <c r="A10" s="369"/>
      <c r="B10" s="33">
        <v>7</v>
      </c>
      <c r="C10" s="34">
        <v>44378</v>
      </c>
      <c r="D10" s="34">
        <v>44408</v>
      </c>
      <c r="E10" s="33">
        <v>33.479999999999997</v>
      </c>
      <c r="F10" s="147">
        <v>20.923999999999999</v>
      </c>
      <c r="G10" s="35">
        <f t="shared" si="5"/>
        <v>700.53551999999991</v>
      </c>
      <c r="H10" s="35">
        <v>81467</v>
      </c>
      <c r="I10" s="35">
        <v>32</v>
      </c>
      <c r="J10" s="35">
        <v>1091</v>
      </c>
      <c r="K10" s="35">
        <v>65</v>
      </c>
      <c r="L10" s="35">
        <v>57</v>
      </c>
      <c r="M10" s="147">
        <f t="shared" si="0"/>
        <v>82712</v>
      </c>
      <c r="N10" s="36">
        <f t="shared" si="1"/>
        <v>3952.9726629707516</v>
      </c>
      <c r="O10" s="36">
        <f t="shared" si="2"/>
        <v>52.141082011087747</v>
      </c>
      <c r="P10" s="36">
        <f t="shared" si="3"/>
        <v>3895.0009558401835</v>
      </c>
      <c r="Q10" s="36">
        <f t="shared" si="4"/>
        <v>5.8306251194800227</v>
      </c>
    </row>
    <row r="11" spans="1:17" x14ac:dyDescent="0.2">
      <c r="A11" s="369"/>
      <c r="B11" s="33">
        <v>8</v>
      </c>
      <c r="C11" s="34">
        <v>44409</v>
      </c>
      <c r="D11" s="34">
        <v>44439</v>
      </c>
      <c r="E11" s="33">
        <v>33.36</v>
      </c>
      <c r="F11" s="147">
        <v>3.1429999999999998</v>
      </c>
      <c r="G11" s="35">
        <f t="shared" si="5"/>
        <v>104.85047999999999</v>
      </c>
      <c r="H11" s="35">
        <v>81467</v>
      </c>
      <c r="I11" s="35">
        <v>5</v>
      </c>
      <c r="J11" s="35">
        <v>164</v>
      </c>
      <c r="K11" s="35">
        <v>10</v>
      </c>
      <c r="L11" s="35">
        <v>8</v>
      </c>
      <c r="M11" s="147">
        <f t="shared" si="0"/>
        <v>81654</v>
      </c>
      <c r="N11" s="36">
        <f t="shared" ref="N11" si="6">+M11/F11</f>
        <v>25979.63728921413</v>
      </c>
      <c r="O11" s="36">
        <f t="shared" ref="O11" si="7">+J11/F11</f>
        <v>52.179446388800514</v>
      </c>
      <c r="P11" s="36">
        <f t="shared" ref="P11" si="8">+(H11+I11)/F11</f>
        <v>25921.7308304168</v>
      </c>
      <c r="Q11" s="36">
        <f t="shared" ref="Q11" si="9">+(K11+L11)/F11</f>
        <v>5.7270124085268854</v>
      </c>
    </row>
    <row r="12" spans="1:17" x14ac:dyDescent="0.2">
      <c r="A12" s="369"/>
      <c r="B12" s="33">
        <v>9</v>
      </c>
      <c r="C12" s="34">
        <v>44440</v>
      </c>
      <c r="D12" s="34">
        <v>44469</v>
      </c>
      <c r="E12" s="33">
        <v>33.352165999999997</v>
      </c>
      <c r="F12" s="147">
        <v>63.101999999999997</v>
      </c>
      <c r="G12" s="35">
        <f t="shared" si="5"/>
        <v>2104.5883789319996</v>
      </c>
      <c r="H12" s="35">
        <v>81467</v>
      </c>
      <c r="I12" s="35">
        <v>97</v>
      </c>
      <c r="J12" s="35">
        <v>3280</v>
      </c>
      <c r="K12" s="35">
        <v>197</v>
      </c>
      <c r="L12" s="35">
        <v>167</v>
      </c>
      <c r="M12" s="147">
        <f t="shared" si="0"/>
        <v>85208</v>
      </c>
      <c r="N12" s="36">
        <f t="shared" si="1"/>
        <v>1350.3217013723813</v>
      </c>
      <c r="O12" s="36">
        <f t="shared" si="2"/>
        <v>51.979335044848028</v>
      </c>
      <c r="P12" s="36">
        <f t="shared" si="3"/>
        <v>1292.5739279262148</v>
      </c>
      <c r="Q12" s="36">
        <f t="shared" si="4"/>
        <v>5.7684384013185008</v>
      </c>
    </row>
    <row r="13" spans="1:17" x14ac:dyDescent="0.2">
      <c r="A13" s="369"/>
      <c r="B13" s="33">
        <v>10</v>
      </c>
      <c r="C13" s="34">
        <v>44470</v>
      </c>
      <c r="D13" s="34">
        <v>44500</v>
      </c>
      <c r="E13" s="33">
        <v>33.674999999999997</v>
      </c>
      <c r="F13" s="147">
        <v>1979</v>
      </c>
      <c r="G13" s="35">
        <f t="shared" si="5"/>
        <v>66642.824999999997</v>
      </c>
      <c r="H13" s="144">
        <v>99594</v>
      </c>
      <c r="I13" s="35">
        <v>4043</v>
      </c>
      <c r="J13" s="35">
        <v>328262</v>
      </c>
      <c r="K13" s="35">
        <f>6228+4319</f>
        <v>10547</v>
      </c>
      <c r="L13" s="35">
        <v>5270</v>
      </c>
      <c r="M13" s="147">
        <f t="shared" si="0"/>
        <v>447716</v>
      </c>
      <c r="N13" s="36">
        <f t="shared" si="1"/>
        <v>226.23345123799899</v>
      </c>
      <c r="O13" s="36">
        <f t="shared" si="2"/>
        <v>165.87266296109146</v>
      </c>
      <c r="P13" s="36">
        <f t="shared" si="3"/>
        <v>52.368367862556845</v>
      </c>
      <c r="Q13" s="36">
        <f t="shared" si="4"/>
        <v>7.9924204143506818</v>
      </c>
    </row>
    <row r="14" spans="1:17" x14ac:dyDescent="0.2">
      <c r="A14" s="369"/>
      <c r="B14" s="33">
        <v>11</v>
      </c>
      <c r="C14" s="34">
        <v>44501</v>
      </c>
      <c r="D14" s="34">
        <v>44530</v>
      </c>
      <c r="E14" s="33">
        <v>33.653199999999998</v>
      </c>
      <c r="F14" s="147">
        <v>5088</v>
      </c>
      <c r="G14" s="35">
        <f t="shared" si="5"/>
        <v>171227.4816</v>
      </c>
      <c r="H14" s="144">
        <v>96381</v>
      </c>
      <c r="I14" s="35">
        <v>10387</v>
      </c>
      <c r="J14" s="35">
        <v>843352</v>
      </c>
      <c r="K14" s="35">
        <f>16001+9501</f>
        <v>25502</v>
      </c>
      <c r="L14" s="35">
        <v>13540</v>
      </c>
      <c r="M14" s="147">
        <f t="shared" si="0"/>
        <v>989162</v>
      </c>
      <c r="N14" s="36">
        <f t="shared" si="1"/>
        <v>194.41077044025158</v>
      </c>
      <c r="O14" s="36">
        <f t="shared" si="2"/>
        <v>165.75314465408806</v>
      </c>
      <c r="P14" s="36">
        <f t="shared" si="3"/>
        <v>20.984276729559749</v>
      </c>
      <c r="Q14" s="36">
        <f t="shared" si="4"/>
        <v>7.6733490566037732</v>
      </c>
    </row>
    <row r="15" spans="1:17" ht="15" thickBot="1" x14ac:dyDescent="0.25">
      <c r="A15" s="369"/>
      <c r="B15" s="33">
        <v>12</v>
      </c>
      <c r="C15" s="34">
        <v>44531</v>
      </c>
      <c r="D15" s="34">
        <v>44561</v>
      </c>
      <c r="E15" s="33">
        <v>34.073300000000003</v>
      </c>
      <c r="F15" s="147">
        <v>5403</v>
      </c>
      <c r="G15" s="35">
        <f t="shared" si="5"/>
        <v>184098.0399</v>
      </c>
      <c r="H15" s="144">
        <f>99594+996</f>
        <v>100590</v>
      </c>
      <c r="I15" s="35">
        <v>11169</v>
      </c>
      <c r="J15" s="35">
        <v>906904</v>
      </c>
      <c r="K15" s="35">
        <f>17207+9181</f>
        <v>26388</v>
      </c>
      <c r="L15" s="35">
        <v>14560</v>
      </c>
      <c r="M15" s="147">
        <f t="shared" si="0"/>
        <v>1059611</v>
      </c>
      <c r="N15" s="36">
        <f t="shared" si="1"/>
        <v>196.11530631130853</v>
      </c>
      <c r="O15" s="36">
        <f t="shared" si="2"/>
        <v>167.85193411067925</v>
      </c>
      <c r="P15" s="36">
        <f t="shared" si="3"/>
        <v>20.684619655746808</v>
      </c>
      <c r="Q15" s="36">
        <f t="shared" si="4"/>
        <v>7.5787525448824731</v>
      </c>
    </row>
    <row r="16" spans="1:17" ht="27" customHeight="1" thickTop="1" thickBot="1" x14ac:dyDescent="0.25">
      <c r="A16" s="361" t="s">
        <v>6</v>
      </c>
      <c r="B16" s="362"/>
      <c r="C16" s="362"/>
      <c r="D16" s="363"/>
      <c r="E16" s="49">
        <f>+G16/F16</f>
        <v>33.828425761648433</v>
      </c>
      <c r="F16" s="40">
        <f t="shared" ref="F16:M16" si="10">SUM(F4:F15)</f>
        <v>28040.571000000004</v>
      </c>
      <c r="G16" s="40">
        <f t="shared" si="10"/>
        <v>948568.37438773201</v>
      </c>
      <c r="H16" s="40">
        <f t="shared" si="10"/>
        <v>1029768</v>
      </c>
      <c r="I16" s="40">
        <f t="shared" si="10"/>
        <v>49822</v>
      </c>
      <c r="J16" s="40">
        <f t="shared" si="10"/>
        <v>2898960</v>
      </c>
      <c r="K16" s="40">
        <f t="shared" si="10"/>
        <v>111644</v>
      </c>
      <c r="L16" s="40">
        <f t="shared" si="10"/>
        <v>75011</v>
      </c>
      <c r="M16" s="40">
        <f t="shared" si="10"/>
        <v>4165205</v>
      </c>
      <c r="N16" s="41">
        <f t="shared" si="1"/>
        <v>148.54208924632809</v>
      </c>
      <c r="O16" s="41">
        <f t="shared" si="2"/>
        <v>103.38448528740729</v>
      </c>
      <c r="P16" s="41">
        <f t="shared" si="3"/>
        <v>38.500999141565266</v>
      </c>
      <c r="Q16" s="41">
        <f t="shared" si="4"/>
        <v>6.6566048173555377</v>
      </c>
    </row>
    <row r="17" spans="1:17" ht="30" customHeight="1" thickTop="1" x14ac:dyDescent="0.2">
      <c r="A17" s="98" t="s">
        <v>86</v>
      </c>
      <c r="B17" s="355" t="s">
        <v>184</v>
      </c>
      <c r="C17" s="355"/>
      <c r="D17" s="355"/>
      <c r="E17" s="42" t="s">
        <v>180</v>
      </c>
      <c r="F17" s="43">
        <v>65</v>
      </c>
      <c r="G17" s="43"/>
      <c r="H17" s="43" t="s">
        <v>177</v>
      </c>
      <c r="I17" s="371">
        <v>35100000062614</v>
      </c>
      <c r="J17" s="371"/>
      <c r="K17" s="370" t="s">
        <v>148</v>
      </c>
      <c r="L17" s="370"/>
      <c r="M17" s="370"/>
      <c r="N17" s="370"/>
      <c r="O17" s="44" t="s">
        <v>432</v>
      </c>
      <c r="P17" s="44"/>
      <c r="Q17" s="44"/>
    </row>
    <row r="18" spans="1:17" ht="15" thickBot="1" x14ac:dyDescent="0.25"/>
    <row r="19" spans="1:17" ht="42.75" customHeight="1" thickTop="1" thickBot="1" x14ac:dyDescent="0.25">
      <c r="A19" s="364" t="s">
        <v>64</v>
      </c>
      <c r="B19" s="366" t="s">
        <v>0</v>
      </c>
      <c r="C19" s="360" t="s">
        <v>5</v>
      </c>
      <c r="D19" s="360"/>
      <c r="E19" s="360" t="s">
        <v>65</v>
      </c>
      <c r="F19" s="360" t="s">
        <v>2</v>
      </c>
      <c r="G19" s="360"/>
      <c r="H19" s="357" t="s">
        <v>13</v>
      </c>
      <c r="I19" s="358"/>
      <c r="J19" s="358"/>
      <c r="K19" s="358"/>
      <c r="L19" s="358"/>
      <c r="M19" s="358"/>
      <c r="N19" s="357" t="s">
        <v>66</v>
      </c>
      <c r="O19" s="358"/>
      <c r="P19" s="358"/>
      <c r="Q19" s="359"/>
    </row>
    <row r="20" spans="1:17" ht="51.75" customHeight="1" thickTop="1" thickBot="1" x14ac:dyDescent="0.25">
      <c r="A20" s="365"/>
      <c r="B20" s="367"/>
      <c r="C20" s="65" t="s">
        <v>3</v>
      </c>
      <c r="D20" s="65" t="s">
        <v>4</v>
      </c>
      <c r="E20" s="360"/>
      <c r="F20" s="65" t="s">
        <v>67</v>
      </c>
      <c r="G20" s="65" t="s">
        <v>1</v>
      </c>
      <c r="H20" s="65" t="s">
        <v>429</v>
      </c>
      <c r="I20" s="65" t="s">
        <v>15</v>
      </c>
      <c r="J20" s="65" t="s">
        <v>16</v>
      </c>
      <c r="K20" s="63" t="s">
        <v>431</v>
      </c>
      <c r="L20" s="63" t="s">
        <v>26</v>
      </c>
      <c r="M20" s="63" t="s">
        <v>19</v>
      </c>
      <c r="N20" s="64" t="s">
        <v>6</v>
      </c>
      <c r="O20" s="64" t="s">
        <v>21</v>
      </c>
      <c r="P20" s="64" t="s">
        <v>20</v>
      </c>
      <c r="Q20" s="64" t="s">
        <v>27</v>
      </c>
    </row>
    <row r="21" spans="1:17" ht="15.75" customHeight="1" thickTop="1" x14ac:dyDescent="0.2">
      <c r="A21" s="368" t="s">
        <v>161</v>
      </c>
      <c r="B21" s="29">
        <v>1</v>
      </c>
      <c r="C21" s="176">
        <v>44197</v>
      </c>
      <c r="D21" s="176">
        <v>44227</v>
      </c>
      <c r="E21" s="29">
        <v>34.042299999999997</v>
      </c>
      <c r="F21" s="146">
        <f>1773.535+2805.426</f>
        <v>4578.9610000000002</v>
      </c>
      <c r="G21" s="31">
        <f>+F21*E21</f>
        <v>155878.36405030001</v>
      </c>
      <c r="H21" s="35">
        <v>59064</v>
      </c>
      <c r="I21" s="31">
        <v>7170</v>
      </c>
      <c r="J21" s="31">
        <v>242585</v>
      </c>
      <c r="K21" s="31">
        <v>14567</v>
      </c>
      <c r="L21" s="31">
        <v>12327</v>
      </c>
      <c r="M21" s="146">
        <f>+L21+K21+J21+I21+H21</f>
        <v>335713</v>
      </c>
      <c r="N21" s="32">
        <f>+M21/F21</f>
        <v>73.316413920101084</v>
      </c>
      <c r="O21" s="32">
        <f>+J21/F21</f>
        <v>52.978175616695573</v>
      </c>
      <c r="P21" s="32">
        <f>+(H21+I21)/F21</f>
        <v>14.464853489689036</v>
      </c>
      <c r="Q21" s="32">
        <f>+(K21+L21)/F21</f>
        <v>5.8733848137164735</v>
      </c>
    </row>
    <row r="22" spans="1:17" x14ac:dyDescent="0.2">
      <c r="A22" s="369"/>
      <c r="B22" s="33">
        <v>2</v>
      </c>
      <c r="C22" s="162">
        <v>44228</v>
      </c>
      <c r="D22" s="162">
        <v>44255</v>
      </c>
      <c r="E22" s="33">
        <v>33.796199999999999</v>
      </c>
      <c r="F22" s="147">
        <f>1341.487+2196.592</f>
        <v>3538.0790000000002</v>
      </c>
      <c r="G22" s="35">
        <f>+F22*E22</f>
        <v>119573.62549980001</v>
      </c>
      <c r="H22" s="35">
        <v>59064</v>
      </c>
      <c r="I22" s="35">
        <v>5500</v>
      </c>
      <c r="J22" s="35">
        <v>186296</v>
      </c>
      <c r="K22" s="35">
        <v>11173</v>
      </c>
      <c r="L22" s="35">
        <v>9455</v>
      </c>
      <c r="M22" s="147">
        <f t="shared" ref="M22:M32" si="11">+L22+K22+J22+I22+H22</f>
        <v>271488</v>
      </c>
      <c r="N22" s="36">
        <f t="shared" ref="N22:N33" si="12">+M22/F22</f>
        <v>76.73316508760827</v>
      </c>
      <c r="O22" s="36">
        <f t="shared" ref="O22:O33" si="13">+J22/F22</f>
        <v>52.654561981233314</v>
      </c>
      <c r="P22" s="36">
        <f t="shared" ref="P22:P33" si="14">+(H22+I22)/F22</f>
        <v>18.248320628227916</v>
      </c>
      <c r="Q22" s="36">
        <f t="shared" ref="Q22:Q33" si="15">+(K22+L22)/F22</f>
        <v>5.8302824781470397</v>
      </c>
    </row>
    <row r="23" spans="1:17" x14ac:dyDescent="0.2">
      <c r="A23" s="369"/>
      <c r="B23" s="33">
        <v>3</v>
      </c>
      <c r="C23" s="162">
        <v>44256</v>
      </c>
      <c r="D23" s="162">
        <v>44286</v>
      </c>
      <c r="E23" s="33">
        <v>33.645000000000003</v>
      </c>
      <c r="F23" s="147">
        <f>839.321+1431.133</f>
        <v>2270.4540000000002</v>
      </c>
      <c r="G23" s="35">
        <f t="shared" ref="G23:G32" si="16">+F23*E23</f>
        <v>76389.424830000018</v>
      </c>
      <c r="H23" s="35">
        <v>59064</v>
      </c>
      <c r="I23" s="35">
        <v>3514</v>
      </c>
      <c r="J23" s="35">
        <v>119014</v>
      </c>
      <c r="K23" s="35">
        <v>7138</v>
      </c>
      <c r="L23" s="35">
        <v>6041</v>
      </c>
      <c r="M23" s="147">
        <f t="shared" si="11"/>
        <v>194771</v>
      </c>
      <c r="N23" s="36">
        <f t="shared" si="12"/>
        <v>85.785045634044991</v>
      </c>
      <c r="O23" s="36">
        <f t="shared" si="13"/>
        <v>52.418591171633508</v>
      </c>
      <c r="P23" s="36">
        <f t="shared" si="14"/>
        <v>27.561888503356595</v>
      </c>
      <c r="Q23" s="36">
        <f t="shared" si="15"/>
        <v>5.8045659590548846</v>
      </c>
    </row>
    <row r="24" spans="1:17" x14ac:dyDescent="0.2">
      <c r="A24" s="369"/>
      <c r="B24" s="33">
        <v>4</v>
      </c>
      <c r="C24" s="162">
        <v>44287</v>
      </c>
      <c r="D24" s="162">
        <v>44316</v>
      </c>
      <c r="E24" s="33">
        <v>33.488500000000002</v>
      </c>
      <c r="F24" s="147">
        <f>579.269+1219.91+0</f>
        <v>1799.1790000000001</v>
      </c>
      <c r="G24" s="35">
        <f t="shared" si="16"/>
        <v>60251.80594150001</v>
      </c>
      <c r="H24" s="35">
        <v>59064</v>
      </c>
      <c r="I24" s="35">
        <v>2772</v>
      </c>
      <c r="J24" s="35">
        <v>93873</v>
      </c>
      <c r="K24" s="35">
        <v>5630</v>
      </c>
      <c r="L24" s="35">
        <v>4764</v>
      </c>
      <c r="M24" s="147">
        <f t="shared" si="11"/>
        <v>166103</v>
      </c>
      <c r="N24" s="36">
        <f t="shared" si="12"/>
        <v>92.321553330713613</v>
      </c>
      <c r="O24" s="36">
        <f t="shared" si="13"/>
        <v>52.175464475741435</v>
      </c>
      <c r="P24" s="36">
        <f t="shared" si="14"/>
        <v>34.369009420407863</v>
      </c>
      <c r="Q24" s="36">
        <f t="shared" si="15"/>
        <v>5.7770794345643202</v>
      </c>
    </row>
    <row r="25" spans="1:17" x14ac:dyDescent="0.2">
      <c r="A25" s="369"/>
      <c r="B25" s="33">
        <v>5</v>
      </c>
      <c r="C25" s="162">
        <v>44317</v>
      </c>
      <c r="D25" s="162">
        <v>44347</v>
      </c>
      <c r="E25" s="33">
        <v>33.529600000000002</v>
      </c>
      <c r="F25" s="147">
        <f>166.441+381.599</f>
        <v>548.04</v>
      </c>
      <c r="G25" s="35">
        <f t="shared" si="16"/>
        <v>18375.561984</v>
      </c>
      <c r="H25" s="35">
        <v>59064</v>
      </c>
      <c r="I25" s="35">
        <v>845</v>
      </c>
      <c r="J25" s="35">
        <v>28630</v>
      </c>
      <c r="K25" s="35">
        <v>1717</v>
      </c>
      <c r="L25" s="35">
        <v>1452</v>
      </c>
      <c r="M25" s="147">
        <f t="shared" si="11"/>
        <v>91708</v>
      </c>
      <c r="N25" s="36">
        <f t="shared" ref="N25:N26" si="17">+M25/F25</f>
        <v>167.33815049996352</v>
      </c>
      <c r="O25" s="36">
        <f t="shared" ref="O25:O26" si="18">+J25/F25</f>
        <v>52.24071235676228</v>
      </c>
      <c r="P25" s="36">
        <f t="shared" ref="P25:P26" si="19">+(H25+I25)/F25</f>
        <v>109.31501350266404</v>
      </c>
      <c r="Q25" s="36">
        <f t="shared" ref="Q25:Q26" si="20">+(K25+L25)/F25</f>
        <v>5.7824246405371875</v>
      </c>
    </row>
    <row r="26" spans="1:17" x14ac:dyDescent="0.2">
      <c r="A26" s="369"/>
      <c r="B26" s="33">
        <v>6</v>
      </c>
      <c r="C26" s="34">
        <v>44348</v>
      </c>
      <c r="D26" s="34">
        <v>44377</v>
      </c>
      <c r="E26" s="33">
        <v>33.463000000000001</v>
      </c>
      <c r="F26" s="147">
        <v>14.682</v>
      </c>
      <c r="G26" s="35">
        <f t="shared" si="16"/>
        <v>491.30376600000005</v>
      </c>
      <c r="H26" s="35">
        <v>59064</v>
      </c>
      <c r="I26" s="35">
        <v>23</v>
      </c>
      <c r="J26" s="35">
        <v>765</v>
      </c>
      <c r="K26" s="35">
        <v>46</v>
      </c>
      <c r="L26" s="35">
        <v>39</v>
      </c>
      <c r="M26" s="147">
        <f t="shared" si="11"/>
        <v>59937</v>
      </c>
      <c r="N26" s="36">
        <f t="shared" si="17"/>
        <v>4082.3457294646505</v>
      </c>
      <c r="O26" s="36">
        <f t="shared" si="18"/>
        <v>52.104617899468735</v>
      </c>
      <c r="P26" s="36">
        <f t="shared" si="19"/>
        <v>4024.4517095763517</v>
      </c>
      <c r="Q26" s="36">
        <f t="shared" si="20"/>
        <v>5.7894019888298596</v>
      </c>
    </row>
    <row r="27" spans="1:17" x14ac:dyDescent="0.2">
      <c r="A27" s="369"/>
      <c r="B27" s="33">
        <v>7</v>
      </c>
      <c r="C27" s="34">
        <v>44378</v>
      </c>
      <c r="D27" s="34">
        <v>44408</v>
      </c>
      <c r="E27" s="33">
        <v>33.604999999999997</v>
      </c>
      <c r="F27" s="147">
        <v>0</v>
      </c>
      <c r="G27" s="35">
        <f t="shared" si="16"/>
        <v>0</v>
      </c>
      <c r="H27" s="35">
        <v>59064</v>
      </c>
      <c r="I27" s="35">
        <v>0</v>
      </c>
      <c r="J27" s="35">
        <v>0</v>
      </c>
      <c r="K27" s="35">
        <v>0</v>
      </c>
      <c r="L27" s="35">
        <v>0</v>
      </c>
      <c r="M27" s="147">
        <f t="shared" si="11"/>
        <v>59064</v>
      </c>
      <c r="N27" s="36">
        <v>0</v>
      </c>
      <c r="O27" s="36">
        <v>0</v>
      </c>
      <c r="P27" s="36">
        <v>0</v>
      </c>
      <c r="Q27" s="36">
        <v>0</v>
      </c>
    </row>
    <row r="28" spans="1:17" x14ac:dyDescent="0.2">
      <c r="A28" s="369"/>
      <c r="B28" s="33">
        <v>8</v>
      </c>
      <c r="C28" s="162">
        <v>44409</v>
      </c>
      <c r="D28" s="162">
        <v>44439</v>
      </c>
      <c r="E28" s="33">
        <v>33.36</v>
      </c>
      <c r="F28" s="147">
        <v>8.3819999999999997</v>
      </c>
      <c r="G28" s="35">
        <f t="shared" si="16"/>
        <v>279.62351999999998</v>
      </c>
      <c r="H28" s="35">
        <v>59064</v>
      </c>
      <c r="I28" s="35">
        <v>13</v>
      </c>
      <c r="J28" s="35">
        <v>436</v>
      </c>
      <c r="K28" s="35">
        <v>26</v>
      </c>
      <c r="L28" s="35">
        <v>23</v>
      </c>
      <c r="M28" s="147">
        <f t="shared" si="11"/>
        <v>59562</v>
      </c>
      <c r="N28" s="36">
        <f t="shared" ref="N28" si="21">+M28/F28</f>
        <v>7105.9413027916971</v>
      </c>
      <c r="O28" s="36">
        <f t="shared" ref="O28" si="22">+J28/F28</f>
        <v>52.0162252445717</v>
      </c>
      <c r="P28" s="36">
        <f t="shared" ref="P28" si="23">+(H28+I28)/F28</f>
        <v>7048.0792173705559</v>
      </c>
      <c r="Q28" s="36">
        <f t="shared" ref="Q28" si="24">+(K28+L28)/F28</f>
        <v>5.8458601765688378</v>
      </c>
    </row>
    <row r="29" spans="1:17" x14ac:dyDescent="0.2">
      <c r="A29" s="369"/>
      <c r="B29" s="33">
        <v>9</v>
      </c>
      <c r="C29" s="162">
        <v>44440</v>
      </c>
      <c r="D29" s="162">
        <v>44469</v>
      </c>
      <c r="E29" s="33">
        <v>33.352165999999997</v>
      </c>
      <c r="F29" s="147">
        <f>27.464+93.601</f>
        <v>121.065</v>
      </c>
      <c r="G29" s="35">
        <f t="shared" si="16"/>
        <v>4037.7799767899996</v>
      </c>
      <c r="H29" s="35">
        <v>59064</v>
      </c>
      <c r="I29" s="35">
        <v>186</v>
      </c>
      <c r="J29" s="35">
        <v>6291</v>
      </c>
      <c r="K29" s="35">
        <v>377</v>
      </c>
      <c r="L29" s="35">
        <v>319</v>
      </c>
      <c r="M29" s="147">
        <f t="shared" si="11"/>
        <v>66237</v>
      </c>
      <c r="N29" s="36">
        <f t="shared" si="12"/>
        <v>547.1193160698798</v>
      </c>
      <c r="O29" s="36">
        <f t="shared" si="13"/>
        <v>51.963821087845375</v>
      </c>
      <c r="P29" s="36">
        <f t="shared" si="14"/>
        <v>489.40651716020318</v>
      </c>
      <c r="Q29" s="36">
        <f t="shared" si="15"/>
        <v>5.7489778218312475</v>
      </c>
    </row>
    <row r="30" spans="1:17" x14ac:dyDescent="0.2">
      <c r="A30" s="369"/>
      <c r="B30" s="33">
        <v>10</v>
      </c>
      <c r="C30" s="34">
        <v>44470</v>
      </c>
      <c r="D30" s="34">
        <v>44500</v>
      </c>
      <c r="E30" s="33">
        <v>33.67</v>
      </c>
      <c r="F30" s="147">
        <f>831+1101</f>
        <v>1932</v>
      </c>
      <c r="G30" s="35">
        <f t="shared" si="16"/>
        <v>65050.44</v>
      </c>
      <c r="H30" s="35">
        <v>73510</v>
      </c>
      <c r="I30" s="35">
        <v>3947</v>
      </c>
      <c r="J30" s="35">
        <v>320496</v>
      </c>
      <c r="K30" s="35">
        <f>6081+3980</f>
        <v>10061</v>
      </c>
      <c r="L30" s="35">
        <v>5146</v>
      </c>
      <c r="M30" s="147">
        <f t="shared" si="11"/>
        <v>413160</v>
      </c>
      <c r="N30" s="36">
        <f t="shared" si="12"/>
        <v>213.85093167701862</v>
      </c>
      <c r="O30" s="36">
        <f t="shared" si="13"/>
        <v>165.88819875776397</v>
      </c>
      <c r="P30" s="36">
        <f t="shared" si="14"/>
        <v>40.091614906832298</v>
      </c>
      <c r="Q30" s="36">
        <f t="shared" si="15"/>
        <v>7.8711180124223601</v>
      </c>
    </row>
    <row r="31" spans="1:17" x14ac:dyDescent="0.2">
      <c r="A31" s="369"/>
      <c r="B31" s="33">
        <v>11</v>
      </c>
      <c r="C31" s="34">
        <v>44501</v>
      </c>
      <c r="D31" s="34">
        <v>44530</v>
      </c>
      <c r="E31" s="33">
        <v>33.650399999999998</v>
      </c>
      <c r="F31" s="147">
        <f>1205+2229</f>
        <v>3434</v>
      </c>
      <c r="G31" s="35">
        <f t="shared" si="16"/>
        <v>115555.4736</v>
      </c>
      <c r="H31" s="35">
        <v>71139</v>
      </c>
      <c r="I31" s="35">
        <v>7009</v>
      </c>
      <c r="J31" s="35">
        <v>569147</v>
      </c>
      <c r="K31" s="35">
        <f>10799+6473</f>
        <v>17272</v>
      </c>
      <c r="L31" s="35">
        <v>9138</v>
      </c>
      <c r="M31" s="147">
        <f t="shared" si="11"/>
        <v>673705</v>
      </c>
      <c r="N31" s="36">
        <f t="shared" si="12"/>
        <v>196.18666278392544</v>
      </c>
      <c r="O31" s="36">
        <f t="shared" si="13"/>
        <v>165.73878858474083</v>
      </c>
      <c r="P31" s="36">
        <f t="shared" si="14"/>
        <v>22.757134536983109</v>
      </c>
      <c r="Q31" s="36">
        <f t="shared" si="15"/>
        <v>7.6907396622015138</v>
      </c>
    </row>
    <row r="32" spans="1:17" ht="15" thickBot="1" x14ac:dyDescent="0.25">
      <c r="A32" s="369"/>
      <c r="B32" s="33">
        <v>12</v>
      </c>
      <c r="C32" s="34">
        <v>44531</v>
      </c>
      <c r="D32" s="34">
        <v>44561</v>
      </c>
      <c r="E32" s="33">
        <v>34.07</v>
      </c>
      <c r="F32" s="147">
        <f>1735+2324</f>
        <v>4059</v>
      </c>
      <c r="G32" s="35">
        <f t="shared" si="16"/>
        <v>138290.13</v>
      </c>
      <c r="H32" s="35">
        <f>73510+735</f>
        <v>74245</v>
      </c>
      <c r="I32" s="35">
        <v>8390</v>
      </c>
      <c r="J32" s="35">
        <v>681247</v>
      </c>
      <c r="K32" s="35">
        <f>12925+6896</f>
        <v>19821</v>
      </c>
      <c r="L32" s="35">
        <v>10937</v>
      </c>
      <c r="M32" s="147">
        <f t="shared" si="11"/>
        <v>794640</v>
      </c>
      <c r="N32" s="36">
        <f t="shared" si="12"/>
        <v>195.77235772357724</v>
      </c>
      <c r="O32" s="36">
        <f t="shared" si="13"/>
        <v>167.83616654348361</v>
      </c>
      <c r="P32" s="36">
        <f t="shared" si="14"/>
        <v>20.358462675535847</v>
      </c>
      <c r="Q32" s="36">
        <f t="shared" si="15"/>
        <v>7.5777285045577729</v>
      </c>
    </row>
    <row r="33" spans="1:17" ht="27" customHeight="1" thickTop="1" thickBot="1" x14ac:dyDescent="0.25">
      <c r="A33" s="361" t="s">
        <v>6</v>
      </c>
      <c r="B33" s="362"/>
      <c r="C33" s="362"/>
      <c r="D33" s="363"/>
      <c r="E33" s="49">
        <f>+G33/F33</f>
        <v>33.813615303067067</v>
      </c>
      <c r="F33" s="40">
        <f t="shared" ref="F33:M33" si="25">SUM(F21:F32)</f>
        <v>22303.842000000001</v>
      </c>
      <c r="G33" s="40">
        <f t="shared" si="25"/>
        <v>754173.53316839004</v>
      </c>
      <c r="H33" s="40">
        <f t="shared" si="25"/>
        <v>750470</v>
      </c>
      <c r="I33" s="40">
        <f t="shared" si="25"/>
        <v>39369</v>
      </c>
      <c r="J33" s="40">
        <f t="shared" si="25"/>
        <v>2248780</v>
      </c>
      <c r="K33" s="40">
        <f t="shared" si="25"/>
        <v>87828</v>
      </c>
      <c r="L33" s="40">
        <f t="shared" si="25"/>
        <v>59641</v>
      </c>
      <c r="M33" s="40">
        <f t="shared" si="25"/>
        <v>3186088</v>
      </c>
      <c r="N33" s="41">
        <f t="shared" si="12"/>
        <v>142.84929027025927</v>
      </c>
      <c r="O33" s="41">
        <f t="shared" si="13"/>
        <v>100.82478166766066</v>
      </c>
      <c r="P33" s="41">
        <f t="shared" si="14"/>
        <v>35.412688092033648</v>
      </c>
      <c r="Q33" s="41">
        <f t="shared" si="15"/>
        <v>6.611820510564951</v>
      </c>
    </row>
    <row r="34" spans="1:17" ht="42" customHeight="1" thickTop="1" x14ac:dyDescent="0.2">
      <c r="A34" s="98" t="s">
        <v>86</v>
      </c>
      <c r="B34" s="355" t="s">
        <v>186</v>
      </c>
      <c r="C34" s="355"/>
      <c r="D34" s="355"/>
      <c r="E34" s="66" t="s">
        <v>180</v>
      </c>
      <c r="F34" s="99" t="s">
        <v>397</v>
      </c>
      <c r="G34" s="99">
        <v>47</v>
      </c>
      <c r="H34" s="99" t="s">
        <v>177</v>
      </c>
      <c r="I34" s="371" t="s">
        <v>300</v>
      </c>
      <c r="J34" s="371"/>
      <c r="K34" s="370" t="s">
        <v>165</v>
      </c>
      <c r="L34" s="370"/>
      <c r="M34" s="370"/>
      <c r="N34" s="370"/>
      <c r="O34" s="44">
        <v>474</v>
      </c>
      <c r="P34" s="44"/>
      <c r="Q34" s="44"/>
    </row>
    <row r="35" spans="1:17" ht="14.25" customHeight="1" thickBot="1" x14ac:dyDescent="0.25">
      <c r="A35" s="100"/>
      <c r="B35" s="42"/>
      <c r="C35" s="42"/>
      <c r="D35" s="42"/>
      <c r="E35" s="42"/>
      <c r="F35" s="43"/>
      <c r="G35" s="43"/>
      <c r="H35" s="43"/>
      <c r="I35" s="43"/>
      <c r="J35" s="43"/>
      <c r="K35" s="43"/>
      <c r="L35" s="43"/>
      <c r="M35" s="43"/>
      <c r="N35" s="43"/>
      <c r="O35" s="44"/>
      <c r="P35" s="44"/>
      <c r="Q35" s="44"/>
    </row>
    <row r="36" spans="1:17" ht="42.75" customHeight="1" thickTop="1" thickBot="1" x14ac:dyDescent="0.25">
      <c r="A36" s="364" t="s">
        <v>64</v>
      </c>
      <c r="B36" s="366" t="s">
        <v>0</v>
      </c>
      <c r="C36" s="360" t="s">
        <v>5</v>
      </c>
      <c r="D36" s="360"/>
      <c r="E36" s="360" t="s">
        <v>65</v>
      </c>
      <c r="F36" s="360" t="s">
        <v>2</v>
      </c>
      <c r="G36" s="360"/>
      <c r="H36" s="357" t="s">
        <v>13</v>
      </c>
      <c r="I36" s="358"/>
      <c r="J36" s="358"/>
      <c r="K36" s="358"/>
      <c r="L36" s="358"/>
      <c r="M36" s="358"/>
      <c r="N36" s="357" t="s">
        <v>66</v>
      </c>
      <c r="O36" s="358"/>
      <c r="P36" s="358"/>
      <c r="Q36" s="359"/>
    </row>
    <row r="37" spans="1:17" ht="51.75" customHeight="1" thickTop="1" thickBot="1" x14ac:dyDescent="0.25">
      <c r="A37" s="365"/>
      <c r="B37" s="367"/>
      <c r="C37" s="65" t="s">
        <v>3</v>
      </c>
      <c r="D37" s="65" t="s">
        <v>4</v>
      </c>
      <c r="E37" s="360"/>
      <c r="F37" s="65" t="s">
        <v>67</v>
      </c>
      <c r="G37" s="65" t="s">
        <v>1</v>
      </c>
      <c r="H37" s="65" t="s">
        <v>429</v>
      </c>
      <c r="I37" s="65" t="s">
        <v>15</v>
      </c>
      <c r="J37" s="65" t="s">
        <v>16</v>
      </c>
      <c r="K37" s="63" t="s">
        <v>379</v>
      </c>
      <c r="L37" s="63" t="s">
        <v>26</v>
      </c>
      <c r="M37" s="63" t="s">
        <v>19</v>
      </c>
      <c r="N37" s="64" t="s">
        <v>6</v>
      </c>
      <c r="O37" s="64" t="s">
        <v>21</v>
      </c>
      <c r="P37" s="64" t="s">
        <v>20</v>
      </c>
      <c r="Q37" s="64" t="s">
        <v>27</v>
      </c>
    </row>
    <row r="38" spans="1:17" ht="15.75" customHeight="1" thickTop="1" x14ac:dyDescent="0.2">
      <c r="A38" s="368" t="s">
        <v>188</v>
      </c>
      <c r="B38" s="29">
        <v>1</v>
      </c>
      <c r="C38" s="30">
        <v>44197</v>
      </c>
      <c r="D38" s="30">
        <v>44227</v>
      </c>
      <c r="E38" s="29">
        <v>34.042299999999997</v>
      </c>
      <c r="F38" s="146">
        <f>+G38/E38</f>
        <v>5791.0011955713926</v>
      </c>
      <c r="G38" s="31">
        <v>197139</v>
      </c>
      <c r="H38" s="35">
        <v>78412</v>
      </c>
      <c r="I38" s="31">
        <v>9068</v>
      </c>
      <c r="J38" s="31">
        <v>307143</v>
      </c>
      <c r="K38" s="31">
        <v>18431</v>
      </c>
      <c r="L38" s="31">
        <v>15596</v>
      </c>
      <c r="M38" s="146">
        <f>+L38+K38+J38+I38+H38</f>
        <v>428650</v>
      </c>
      <c r="N38" s="32">
        <f>+M38/F38</f>
        <v>74.020015801033779</v>
      </c>
      <c r="O38" s="32">
        <f>+J38/F38</f>
        <v>53.037979034589803</v>
      </c>
      <c r="P38" s="32">
        <f>+(H38+I38)/F38</f>
        <v>15.106196156011746</v>
      </c>
      <c r="Q38" s="32">
        <f>+(K38+L38)/F38</f>
        <v>5.8758406104322329</v>
      </c>
    </row>
    <row r="39" spans="1:17" x14ac:dyDescent="0.2">
      <c r="A39" s="369"/>
      <c r="B39" s="33">
        <v>2</v>
      </c>
      <c r="C39" s="34">
        <v>44228</v>
      </c>
      <c r="D39" s="34">
        <v>44255</v>
      </c>
      <c r="E39" s="33">
        <v>33.796399999999998</v>
      </c>
      <c r="F39" s="147">
        <f t="shared" ref="F39:F49" si="26">+G39/E39</f>
        <v>5027.606490632139</v>
      </c>
      <c r="G39" s="35">
        <v>169915</v>
      </c>
      <c r="H39" s="35">
        <v>78412</v>
      </c>
      <c r="I39" s="35">
        <v>7816</v>
      </c>
      <c r="J39" s="35">
        <v>264728</v>
      </c>
      <c r="K39" s="35">
        <v>15886</v>
      </c>
      <c r="L39" s="35">
        <v>13442</v>
      </c>
      <c r="M39" s="147">
        <f t="shared" ref="M39:M49" si="27">+L39+K39+J39+I39+H39</f>
        <v>380284</v>
      </c>
      <c r="N39" s="36">
        <f t="shared" ref="N39:N50" si="28">+M39/F39</f>
        <v>75.639173572668682</v>
      </c>
      <c r="O39" s="36">
        <f t="shared" ref="O39:O50" si="29">+J39/F39</f>
        <v>52.654876727775644</v>
      </c>
      <c r="P39" s="36">
        <f t="shared" ref="P39:P50" si="30">+(H39+I39)/F39</f>
        <v>17.150904741782654</v>
      </c>
      <c r="Q39" s="36">
        <f t="shared" ref="Q39:Q50" si="31">+(K39+L39)/F39</f>
        <v>5.8333921031103779</v>
      </c>
    </row>
    <row r="40" spans="1:17" x14ac:dyDescent="0.2">
      <c r="A40" s="369"/>
      <c r="B40" s="33">
        <v>3</v>
      </c>
      <c r="C40" s="34">
        <v>44256</v>
      </c>
      <c r="D40" s="34">
        <v>44286</v>
      </c>
      <c r="E40" s="33">
        <v>34.3048</v>
      </c>
      <c r="F40" s="147">
        <f t="shared" si="26"/>
        <v>2919.9995335929666</v>
      </c>
      <c r="G40" s="35">
        <v>100170</v>
      </c>
      <c r="H40" s="35">
        <v>78412</v>
      </c>
      <c r="I40" s="35">
        <v>4608</v>
      </c>
      <c r="J40" s="35">
        <v>156065</v>
      </c>
      <c r="K40" s="35">
        <v>9359</v>
      </c>
      <c r="L40" s="35">
        <v>7920</v>
      </c>
      <c r="M40" s="147">
        <f t="shared" si="27"/>
        <v>256364</v>
      </c>
      <c r="N40" s="36">
        <f t="shared" si="28"/>
        <v>87.79590443446142</v>
      </c>
      <c r="O40" s="36">
        <f t="shared" si="29"/>
        <v>53.446926345213136</v>
      </c>
      <c r="P40" s="36">
        <f t="shared" si="30"/>
        <v>28.431511390635919</v>
      </c>
      <c r="Q40" s="36">
        <f t="shared" si="31"/>
        <v>5.9174666986123592</v>
      </c>
    </row>
    <row r="41" spans="1:17" x14ac:dyDescent="0.2">
      <c r="A41" s="369"/>
      <c r="B41" s="33">
        <v>4</v>
      </c>
      <c r="C41" s="34">
        <v>44287</v>
      </c>
      <c r="D41" s="34">
        <v>44316</v>
      </c>
      <c r="E41" s="33">
        <v>33.445749999999997</v>
      </c>
      <c r="F41" s="147">
        <f t="shared" si="26"/>
        <v>1166.9943116838463</v>
      </c>
      <c r="G41" s="35">
        <v>39031</v>
      </c>
      <c r="H41" s="35">
        <v>78412</v>
      </c>
      <c r="I41" s="35">
        <v>1795</v>
      </c>
      <c r="J41" s="35">
        <v>60810</v>
      </c>
      <c r="K41" s="35">
        <v>3647</v>
      </c>
      <c r="L41" s="35">
        <v>3086</v>
      </c>
      <c r="M41" s="147">
        <f t="shared" si="27"/>
        <v>147750</v>
      </c>
      <c r="N41" s="36">
        <f t="shared" si="28"/>
        <v>126.6073009274679</v>
      </c>
      <c r="O41" s="36">
        <f t="shared" si="29"/>
        <v>52.108223143142631</v>
      </c>
      <c r="P41" s="36">
        <f t="shared" si="30"/>
        <v>68.729555231738871</v>
      </c>
      <c r="Q41" s="36">
        <f t="shared" si="31"/>
        <v>5.7695225525864053</v>
      </c>
    </row>
    <row r="42" spans="1:17" x14ac:dyDescent="0.2">
      <c r="A42" s="369"/>
      <c r="B42" s="33">
        <v>5</v>
      </c>
      <c r="C42" s="34">
        <v>44317</v>
      </c>
      <c r="D42" s="34">
        <v>44347</v>
      </c>
      <c r="E42" s="33">
        <v>33.445749999999997</v>
      </c>
      <c r="F42" s="147">
        <f t="shared" si="26"/>
        <v>1451.9034555960027</v>
      </c>
      <c r="G42" s="35">
        <v>48560</v>
      </c>
      <c r="H42" s="35">
        <v>78412</v>
      </c>
      <c r="I42" s="35">
        <v>2234</v>
      </c>
      <c r="J42" s="35">
        <v>75656</v>
      </c>
      <c r="K42" s="35">
        <v>4538</v>
      </c>
      <c r="L42" s="35">
        <v>3839</v>
      </c>
      <c r="M42" s="147">
        <f t="shared" si="27"/>
        <v>164679</v>
      </c>
      <c r="N42" s="36">
        <f t="shared" ref="N42" si="32">+M42/F42</f>
        <v>113.42283081239702</v>
      </c>
      <c r="O42" s="36">
        <f t="shared" ref="O42" si="33">+J42/F42</f>
        <v>52.108147899505759</v>
      </c>
      <c r="P42" s="36">
        <f t="shared" ref="P42" si="34">+(H42+I42)/F42</f>
        <v>55.545015537479401</v>
      </c>
      <c r="Q42" s="36">
        <f t="shared" ref="Q42" si="35">+(K42+L42)/F42</f>
        <v>5.7696673754118608</v>
      </c>
    </row>
    <row r="43" spans="1:17" x14ac:dyDescent="0.2">
      <c r="A43" s="369"/>
      <c r="B43" s="33">
        <v>6</v>
      </c>
      <c r="C43" s="34">
        <v>44348</v>
      </c>
      <c r="D43" s="34">
        <v>44377</v>
      </c>
      <c r="E43" s="192">
        <v>33.537999999999997</v>
      </c>
      <c r="F43" s="147">
        <f t="shared" si="26"/>
        <v>0</v>
      </c>
      <c r="G43" s="35">
        <v>0</v>
      </c>
      <c r="H43" s="35">
        <v>78412</v>
      </c>
      <c r="I43" s="35">
        <v>0</v>
      </c>
      <c r="J43" s="35">
        <v>0</v>
      </c>
      <c r="K43" s="35">
        <v>0</v>
      </c>
      <c r="L43" s="35">
        <v>0</v>
      </c>
      <c r="M43" s="147">
        <f t="shared" si="27"/>
        <v>78412</v>
      </c>
      <c r="N43" s="36">
        <v>0</v>
      </c>
      <c r="O43" s="36">
        <v>0</v>
      </c>
      <c r="P43" s="36">
        <v>0</v>
      </c>
      <c r="Q43" s="36">
        <v>0</v>
      </c>
    </row>
    <row r="44" spans="1:17" x14ac:dyDescent="0.2">
      <c r="A44" s="369"/>
      <c r="B44" s="33">
        <v>7</v>
      </c>
      <c r="C44" s="34">
        <v>44378</v>
      </c>
      <c r="D44" s="34">
        <v>44408</v>
      </c>
      <c r="E44" s="192">
        <v>33.604999999999997</v>
      </c>
      <c r="F44" s="147">
        <f t="shared" si="26"/>
        <v>0</v>
      </c>
      <c r="G44" s="35">
        <v>0</v>
      </c>
      <c r="H44" s="35">
        <v>78412</v>
      </c>
      <c r="I44" s="35">
        <v>0</v>
      </c>
      <c r="J44" s="35">
        <v>0</v>
      </c>
      <c r="K44" s="35">
        <v>0</v>
      </c>
      <c r="L44" s="35">
        <v>0</v>
      </c>
      <c r="M44" s="147">
        <f t="shared" si="27"/>
        <v>78412</v>
      </c>
      <c r="N44" s="36">
        <v>0</v>
      </c>
      <c r="O44" s="36">
        <v>0</v>
      </c>
      <c r="P44" s="36">
        <v>0</v>
      </c>
      <c r="Q44" s="36">
        <v>0</v>
      </c>
    </row>
    <row r="45" spans="1:17" x14ac:dyDescent="0.2">
      <c r="A45" s="369"/>
      <c r="B45" s="33">
        <v>8</v>
      </c>
      <c r="C45" s="34">
        <v>44409</v>
      </c>
      <c r="D45" s="34">
        <v>44439</v>
      </c>
      <c r="E45" s="192">
        <v>33.520000000000003</v>
      </c>
      <c r="F45" s="147">
        <f t="shared" si="26"/>
        <v>0</v>
      </c>
      <c r="G45" s="35">
        <v>0</v>
      </c>
      <c r="H45" s="35">
        <v>78412</v>
      </c>
      <c r="I45" s="35">
        <v>0</v>
      </c>
      <c r="J45" s="35">
        <v>0</v>
      </c>
      <c r="K45" s="35">
        <v>0</v>
      </c>
      <c r="L45" s="35">
        <v>0</v>
      </c>
      <c r="M45" s="147">
        <f t="shared" si="27"/>
        <v>78412</v>
      </c>
      <c r="N45" s="36">
        <v>0</v>
      </c>
      <c r="O45" s="36">
        <v>0</v>
      </c>
      <c r="P45" s="36">
        <v>0</v>
      </c>
      <c r="Q45" s="36">
        <v>0</v>
      </c>
    </row>
    <row r="46" spans="1:17" x14ac:dyDescent="0.2">
      <c r="A46" s="369"/>
      <c r="B46" s="33">
        <v>9</v>
      </c>
      <c r="C46" s="292">
        <v>44440</v>
      </c>
      <c r="D46" s="34">
        <v>44469</v>
      </c>
      <c r="E46" s="33">
        <v>33.481000000000002</v>
      </c>
      <c r="F46" s="147">
        <f t="shared" si="26"/>
        <v>0</v>
      </c>
      <c r="G46" s="35">
        <v>0</v>
      </c>
      <c r="H46" s="35">
        <v>78412</v>
      </c>
      <c r="I46" s="35">
        <v>0</v>
      </c>
      <c r="J46" s="35">
        <v>0</v>
      </c>
      <c r="K46" s="35">
        <v>0</v>
      </c>
      <c r="L46" s="35">
        <v>0</v>
      </c>
      <c r="M46" s="147">
        <f t="shared" si="27"/>
        <v>78412</v>
      </c>
      <c r="N46" s="36" t="e">
        <f t="shared" si="28"/>
        <v>#DIV/0!</v>
      </c>
      <c r="O46" s="36" t="e">
        <f t="shared" si="29"/>
        <v>#DIV/0!</v>
      </c>
      <c r="P46" s="36" t="e">
        <f t="shared" si="30"/>
        <v>#DIV/0!</v>
      </c>
      <c r="Q46" s="36" t="e">
        <f t="shared" si="31"/>
        <v>#DIV/0!</v>
      </c>
    </row>
    <row r="47" spans="1:17" x14ac:dyDescent="0.2">
      <c r="A47" s="369"/>
      <c r="B47" s="33">
        <v>10</v>
      </c>
      <c r="C47" s="34">
        <v>44470</v>
      </c>
      <c r="D47" s="34">
        <v>44500</v>
      </c>
      <c r="E47" s="33">
        <v>34.200000000000003</v>
      </c>
      <c r="F47" s="147">
        <f t="shared" si="26"/>
        <v>1150</v>
      </c>
      <c r="G47" s="35">
        <v>39330</v>
      </c>
      <c r="H47" s="144">
        <v>99594</v>
      </c>
      <c r="I47" s="35">
        <v>2387</v>
      </c>
      <c r="J47" s="35">
        <v>193809</v>
      </c>
      <c r="K47" s="35">
        <f>3677+2208</f>
        <v>5885</v>
      </c>
      <c r="L47" s="35">
        <v>3112</v>
      </c>
      <c r="M47" s="147">
        <f t="shared" si="27"/>
        <v>304787</v>
      </c>
      <c r="N47" s="36">
        <f t="shared" si="28"/>
        <v>265.03217391304349</v>
      </c>
      <c r="O47" s="36">
        <f t="shared" si="29"/>
        <v>168.52956521739131</v>
      </c>
      <c r="P47" s="36">
        <f t="shared" si="30"/>
        <v>88.679130434782607</v>
      </c>
      <c r="Q47" s="36">
        <f t="shared" si="31"/>
        <v>7.8234782608695657</v>
      </c>
    </row>
    <row r="48" spans="1:17" x14ac:dyDescent="0.2">
      <c r="A48" s="369"/>
      <c r="B48" s="33">
        <v>11</v>
      </c>
      <c r="C48" s="34">
        <v>44501</v>
      </c>
      <c r="D48" s="34">
        <v>44530</v>
      </c>
      <c r="E48" s="33">
        <v>34.200000000000003</v>
      </c>
      <c r="F48" s="147">
        <f t="shared" si="26"/>
        <v>3909.9999999999995</v>
      </c>
      <c r="G48" s="35">
        <v>133722</v>
      </c>
      <c r="H48" s="144">
        <v>96381</v>
      </c>
      <c r="I48" s="35">
        <v>8115</v>
      </c>
      <c r="J48" s="35">
        <v>658942</v>
      </c>
      <c r="K48" s="35">
        <f>12502+6909</f>
        <v>19411</v>
      </c>
      <c r="L48" s="35">
        <v>10579</v>
      </c>
      <c r="M48" s="147">
        <f t="shared" si="27"/>
        <v>793428</v>
      </c>
      <c r="N48" s="36">
        <f t="shared" si="28"/>
        <v>202.92276214833763</v>
      </c>
      <c r="O48" s="36">
        <f t="shared" si="29"/>
        <v>168.52736572890026</v>
      </c>
      <c r="P48" s="36">
        <f t="shared" si="30"/>
        <v>26.725319693094633</v>
      </c>
      <c r="Q48" s="36">
        <f t="shared" si="31"/>
        <v>7.6700767263427121</v>
      </c>
    </row>
    <row r="49" spans="1:17" ht="15" thickBot="1" x14ac:dyDescent="0.25">
      <c r="A49" s="369"/>
      <c r="B49" s="33">
        <v>12</v>
      </c>
      <c r="C49" s="34">
        <v>44531</v>
      </c>
      <c r="D49" s="34">
        <v>44561</v>
      </c>
      <c r="E49" s="33">
        <v>34.073799999999999</v>
      </c>
      <c r="F49" s="147">
        <f t="shared" si="26"/>
        <v>5273.758723711474</v>
      </c>
      <c r="G49" s="35">
        <v>179697</v>
      </c>
      <c r="H49" s="144">
        <f>99594+996</f>
        <v>100590</v>
      </c>
      <c r="I49" s="35">
        <v>10902</v>
      </c>
      <c r="J49" s="35">
        <v>885223</v>
      </c>
      <c r="K49" s="35">
        <f>16796+8961</f>
        <v>25757</v>
      </c>
      <c r="L49" s="35">
        <v>14212</v>
      </c>
      <c r="M49" s="147">
        <f t="shared" si="27"/>
        <v>1036684</v>
      </c>
      <c r="N49" s="36">
        <f t="shared" si="28"/>
        <v>196.57402894427841</v>
      </c>
      <c r="O49" s="36">
        <f t="shared" si="29"/>
        <v>167.8542850320261</v>
      </c>
      <c r="P49" s="36">
        <f t="shared" si="30"/>
        <v>21.140898899814687</v>
      </c>
      <c r="Q49" s="36">
        <f t="shared" si="31"/>
        <v>7.5788450124376023</v>
      </c>
    </row>
    <row r="50" spans="1:17" ht="27" customHeight="1" thickTop="1" thickBot="1" x14ac:dyDescent="0.25">
      <c r="A50" s="361" t="s">
        <v>6</v>
      </c>
      <c r="B50" s="362"/>
      <c r="C50" s="362"/>
      <c r="D50" s="363"/>
      <c r="E50" s="49">
        <f>+G50/F50</f>
        <v>34.002286659555551</v>
      </c>
      <c r="F50" s="40">
        <f t="shared" ref="F50:M50" si="36">SUM(F38:F49)</f>
        <v>26691.263710787822</v>
      </c>
      <c r="G50" s="40">
        <f t="shared" si="36"/>
        <v>907564</v>
      </c>
      <c r="H50" s="40">
        <f t="shared" si="36"/>
        <v>1002273</v>
      </c>
      <c r="I50" s="40">
        <f t="shared" si="36"/>
        <v>46925</v>
      </c>
      <c r="J50" s="40">
        <f t="shared" si="36"/>
        <v>2602376</v>
      </c>
      <c r="K50" s="40">
        <f t="shared" si="36"/>
        <v>102914</v>
      </c>
      <c r="L50" s="40">
        <f t="shared" si="36"/>
        <v>71786</v>
      </c>
      <c r="M50" s="40">
        <f t="shared" si="36"/>
        <v>3826274</v>
      </c>
      <c r="N50" s="41">
        <f t="shared" si="28"/>
        <v>143.35304770352752</v>
      </c>
      <c r="O50" s="41">
        <f t="shared" si="29"/>
        <v>97.499167825021203</v>
      </c>
      <c r="P50" s="41">
        <f t="shared" si="30"/>
        <v>39.308667111776543</v>
      </c>
      <c r="Q50" s="41">
        <f t="shared" si="31"/>
        <v>6.5452127667297901</v>
      </c>
    </row>
    <row r="51" spans="1:17" ht="33.75" customHeight="1" thickTop="1" x14ac:dyDescent="0.2">
      <c r="A51" s="98" t="s">
        <v>86</v>
      </c>
      <c r="B51" s="355" t="s">
        <v>187</v>
      </c>
      <c r="C51" s="355"/>
      <c r="D51" s="355"/>
      <c r="E51" s="66" t="s">
        <v>180</v>
      </c>
      <c r="F51" s="99">
        <v>65</v>
      </c>
      <c r="G51" s="99"/>
      <c r="H51" s="99" t="s">
        <v>177</v>
      </c>
      <c r="I51" s="371">
        <v>35100000071600</v>
      </c>
      <c r="J51" s="371"/>
      <c r="K51" s="370" t="s">
        <v>148</v>
      </c>
      <c r="L51" s="370"/>
      <c r="M51" s="370"/>
      <c r="N51" s="370"/>
      <c r="O51" s="44" t="s">
        <v>432</v>
      </c>
      <c r="P51" s="44">
        <v>166</v>
      </c>
      <c r="Q51" s="44"/>
    </row>
    <row r="52" spans="1:17" ht="15" thickBot="1" x14ac:dyDescent="0.25"/>
    <row r="53" spans="1:17" ht="42.75" customHeight="1" thickTop="1" thickBot="1" x14ac:dyDescent="0.25">
      <c r="A53" s="364" t="s">
        <v>64</v>
      </c>
      <c r="B53" s="366" t="s">
        <v>0</v>
      </c>
      <c r="C53" s="360" t="s">
        <v>5</v>
      </c>
      <c r="D53" s="360"/>
      <c r="E53" s="360" t="s">
        <v>65</v>
      </c>
      <c r="F53" s="360" t="s">
        <v>2</v>
      </c>
      <c r="G53" s="360"/>
      <c r="H53" s="357" t="s">
        <v>13</v>
      </c>
      <c r="I53" s="358"/>
      <c r="J53" s="358"/>
      <c r="K53" s="358"/>
      <c r="L53" s="358"/>
      <c r="M53" s="358"/>
      <c r="N53" s="357" t="s">
        <v>66</v>
      </c>
      <c r="O53" s="358"/>
      <c r="P53" s="358"/>
      <c r="Q53" s="359"/>
    </row>
    <row r="54" spans="1:17" ht="51.75" customHeight="1" thickTop="1" thickBot="1" x14ac:dyDescent="0.25">
      <c r="A54" s="365"/>
      <c r="B54" s="367"/>
      <c r="C54" s="65" t="s">
        <v>3</v>
      </c>
      <c r="D54" s="65" t="s">
        <v>4</v>
      </c>
      <c r="E54" s="360"/>
      <c r="F54" s="65" t="s">
        <v>67</v>
      </c>
      <c r="G54" s="65" t="s">
        <v>1</v>
      </c>
      <c r="H54" s="65" t="s">
        <v>429</v>
      </c>
      <c r="I54" s="65" t="s">
        <v>15</v>
      </c>
      <c r="J54" s="65" t="s">
        <v>16</v>
      </c>
      <c r="K54" s="63" t="s">
        <v>431</v>
      </c>
      <c r="L54" s="63" t="s">
        <v>26</v>
      </c>
      <c r="M54" s="63" t="s">
        <v>19</v>
      </c>
      <c r="N54" s="64" t="s">
        <v>6</v>
      </c>
      <c r="O54" s="64" t="s">
        <v>21</v>
      </c>
      <c r="P54" s="64" t="s">
        <v>20</v>
      </c>
      <c r="Q54" s="64" t="s">
        <v>27</v>
      </c>
    </row>
    <row r="55" spans="1:17" ht="15.75" customHeight="1" thickTop="1" x14ac:dyDescent="0.2">
      <c r="A55" s="368" t="s">
        <v>190</v>
      </c>
      <c r="B55" s="29">
        <v>1</v>
      </c>
      <c r="C55" s="30">
        <v>44197</v>
      </c>
      <c r="D55" s="30">
        <v>44227</v>
      </c>
      <c r="E55" s="29">
        <v>34.042299999999997</v>
      </c>
      <c r="F55" s="146">
        <v>6809.4229999999998</v>
      </c>
      <c r="G55" s="31">
        <f>+F55*E55</f>
        <v>231808.42059289999</v>
      </c>
      <c r="H55" s="35">
        <v>43588</v>
      </c>
      <c r="I55" s="31">
        <v>10663</v>
      </c>
      <c r="J55" s="31">
        <v>361157</v>
      </c>
      <c r="K55" s="31">
        <v>21662</v>
      </c>
      <c r="L55" s="31">
        <v>18329</v>
      </c>
      <c r="M55" s="146">
        <f>+L55+K55+J55+I55+H55</f>
        <v>455399</v>
      </c>
      <c r="N55" s="32">
        <f>+M55/F55</f>
        <v>66.877766295323411</v>
      </c>
      <c r="O55" s="32">
        <f>+J55/F55</f>
        <v>53.037827140419978</v>
      </c>
      <c r="P55" s="32">
        <f>+(H55+I55)/F55</f>
        <v>7.9670480156688752</v>
      </c>
      <c r="Q55" s="32">
        <f>+(K55+L55)/F55</f>
        <v>5.8728911392345582</v>
      </c>
    </row>
    <row r="56" spans="1:17" x14ac:dyDescent="0.2">
      <c r="A56" s="369"/>
      <c r="B56" s="33">
        <v>2</v>
      </c>
      <c r="C56" s="34">
        <v>44228</v>
      </c>
      <c r="D56" s="34">
        <v>44255</v>
      </c>
      <c r="E56" s="33">
        <v>33.796399999999998</v>
      </c>
      <c r="F56" s="147">
        <v>5565.3779999999997</v>
      </c>
      <c r="G56" s="35">
        <f>+F56*E56</f>
        <v>188089.74103919999</v>
      </c>
      <c r="H56" s="144">
        <v>43588</v>
      </c>
      <c r="I56" s="144">
        <v>8652</v>
      </c>
      <c r="J56" s="144">
        <v>293044</v>
      </c>
      <c r="K56" s="144">
        <v>17575</v>
      </c>
      <c r="L56" s="144">
        <v>14871</v>
      </c>
      <c r="M56" s="147">
        <f t="shared" ref="M56:M66" si="37">+L56+K56+J56+I56+H56</f>
        <v>377730</v>
      </c>
      <c r="N56" s="36">
        <f t="shared" ref="N56:N67" si="38">+M56/F56</f>
        <v>67.871400648796907</v>
      </c>
      <c r="O56" s="36">
        <f t="shared" ref="O56:O67" si="39">+J56/F56</f>
        <v>52.654824164683873</v>
      </c>
      <c r="P56" s="36">
        <f t="shared" ref="P56:P67" si="40">+(H56+I56)/F56</f>
        <v>9.3866041084720582</v>
      </c>
      <c r="Q56" s="36">
        <f t="shared" ref="Q56:Q67" si="41">+(K56+L56)/F56</f>
        <v>5.8299723756409723</v>
      </c>
    </row>
    <row r="57" spans="1:17" x14ac:dyDescent="0.2">
      <c r="A57" s="369"/>
      <c r="B57" s="33">
        <v>3</v>
      </c>
      <c r="C57" s="34">
        <v>44256</v>
      </c>
      <c r="D57" s="34">
        <v>44286</v>
      </c>
      <c r="E57" s="33">
        <v>33.645000000000003</v>
      </c>
      <c r="F57" s="147">
        <v>1305.845</v>
      </c>
      <c r="G57" s="35">
        <f t="shared" ref="G57:G66" si="42">+F57*E57</f>
        <v>43935.155025000007</v>
      </c>
      <c r="H57" s="144">
        <v>43588</v>
      </c>
      <c r="I57" s="144">
        <v>2021</v>
      </c>
      <c r="J57" s="144">
        <v>68451</v>
      </c>
      <c r="K57" s="144">
        <v>4105</v>
      </c>
      <c r="L57" s="144">
        <v>3473</v>
      </c>
      <c r="M57" s="147">
        <f t="shared" si="37"/>
        <v>121638</v>
      </c>
      <c r="N57" s="36">
        <f t="shared" si="38"/>
        <v>93.148880609873302</v>
      </c>
      <c r="O57" s="36">
        <f t="shared" si="39"/>
        <v>52.418931802779042</v>
      </c>
      <c r="P57" s="36">
        <f t="shared" si="40"/>
        <v>34.926809843434711</v>
      </c>
      <c r="Q57" s="36">
        <f t="shared" si="41"/>
        <v>5.8031389636595456</v>
      </c>
    </row>
    <row r="58" spans="1:17" x14ac:dyDescent="0.2">
      <c r="A58" s="369"/>
      <c r="B58" s="33">
        <v>4</v>
      </c>
      <c r="C58" s="34">
        <v>44287</v>
      </c>
      <c r="D58" s="34">
        <v>44316</v>
      </c>
      <c r="E58" s="33">
        <v>33.488799999999998</v>
      </c>
      <c r="F58" s="147">
        <v>2410.3879999999999</v>
      </c>
      <c r="G58" s="35">
        <f t="shared" si="42"/>
        <v>80721.001654399995</v>
      </c>
      <c r="H58" s="144">
        <v>43588</v>
      </c>
      <c r="I58" s="144">
        <v>3713</v>
      </c>
      <c r="J58" s="144">
        <v>125763</v>
      </c>
      <c r="K58" s="144">
        <v>7542</v>
      </c>
      <c r="L58" s="144">
        <v>6383</v>
      </c>
      <c r="M58" s="147">
        <f t="shared" si="37"/>
        <v>186989</v>
      </c>
      <c r="N58" s="36">
        <f t="shared" si="38"/>
        <v>77.576307216929393</v>
      </c>
      <c r="O58" s="36">
        <f t="shared" si="39"/>
        <v>52.175417401679731</v>
      </c>
      <c r="P58" s="36">
        <f t="shared" si="40"/>
        <v>19.623811602115509</v>
      </c>
      <c r="Q58" s="36">
        <f t="shared" si="41"/>
        <v>5.7770782131341516</v>
      </c>
    </row>
    <row r="59" spans="1:17" x14ac:dyDescent="0.2">
      <c r="A59" s="369"/>
      <c r="B59" s="33">
        <v>5</v>
      </c>
      <c r="C59" s="34">
        <v>44317</v>
      </c>
      <c r="D59" s="34">
        <v>44347</v>
      </c>
      <c r="E59" s="33">
        <v>33.528799999999997</v>
      </c>
      <c r="F59" s="147">
        <v>607.32000000000005</v>
      </c>
      <c r="G59" s="35">
        <f t="shared" si="42"/>
        <v>20362.710815999999</v>
      </c>
      <c r="H59" s="144">
        <v>43588</v>
      </c>
      <c r="I59" s="144">
        <v>937</v>
      </c>
      <c r="J59" s="144">
        <v>31726</v>
      </c>
      <c r="K59" s="144">
        <v>1903</v>
      </c>
      <c r="L59" s="144">
        <v>1609</v>
      </c>
      <c r="M59" s="147">
        <f t="shared" si="37"/>
        <v>79763</v>
      </c>
      <c r="N59" s="36">
        <f t="shared" si="38"/>
        <v>131.33603372192582</v>
      </c>
      <c r="O59" s="36">
        <f t="shared" si="39"/>
        <v>52.239346637686886</v>
      </c>
      <c r="P59" s="36">
        <f t="shared" si="40"/>
        <v>73.313903708094571</v>
      </c>
      <c r="Q59" s="36">
        <f t="shared" si="41"/>
        <v>5.7827833761443719</v>
      </c>
    </row>
    <row r="60" spans="1:17" x14ac:dyDescent="0.2">
      <c r="A60" s="369"/>
      <c r="B60" s="33">
        <v>6</v>
      </c>
      <c r="C60" s="34">
        <v>44348</v>
      </c>
      <c r="D60" s="34">
        <v>44377</v>
      </c>
      <c r="E60" s="33">
        <v>33.5</v>
      </c>
      <c r="F60" s="147">
        <v>0</v>
      </c>
      <c r="G60" s="35">
        <f t="shared" si="42"/>
        <v>0</v>
      </c>
      <c r="H60" s="144">
        <v>43588</v>
      </c>
      <c r="I60" s="144">
        <v>0</v>
      </c>
      <c r="J60" s="144">
        <v>0</v>
      </c>
      <c r="K60" s="144">
        <v>0</v>
      </c>
      <c r="L60" s="144">
        <v>0</v>
      </c>
      <c r="M60" s="147">
        <f t="shared" si="37"/>
        <v>43588</v>
      </c>
      <c r="N60" s="36">
        <v>0</v>
      </c>
      <c r="O60" s="36">
        <v>0</v>
      </c>
      <c r="P60" s="36">
        <v>0</v>
      </c>
      <c r="Q60" s="36">
        <v>0</v>
      </c>
    </row>
    <row r="61" spans="1:17" x14ac:dyDescent="0.2">
      <c r="A61" s="369"/>
      <c r="B61" s="33">
        <v>7</v>
      </c>
      <c r="C61" s="34">
        <v>44378</v>
      </c>
      <c r="D61" s="34">
        <v>44408</v>
      </c>
      <c r="E61" s="33">
        <v>33.5</v>
      </c>
      <c r="F61" s="147">
        <v>0</v>
      </c>
      <c r="G61" s="35">
        <f t="shared" si="42"/>
        <v>0</v>
      </c>
      <c r="H61" s="144">
        <v>43588</v>
      </c>
      <c r="I61" s="144">
        <v>0</v>
      </c>
      <c r="J61" s="144">
        <v>0</v>
      </c>
      <c r="K61" s="144">
        <v>0</v>
      </c>
      <c r="L61" s="144">
        <v>0</v>
      </c>
      <c r="M61" s="147">
        <f t="shared" si="37"/>
        <v>43588</v>
      </c>
      <c r="N61" s="36">
        <v>0</v>
      </c>
      <c r="O61" s="36">
        <v>0</v>
      </c>
      <c r="P61" s="36">
        <v>0</v>
      </c>
      <c r="Q61" s="36">
        <v>0</v>
      </c>
    </row>
    <row r="62" spans="1:17" x14ac:dyDescent="0.2">
      <c r="A62" s="369"/>
      <c r="B62" s="33">
        <v>8</v>
      </c>
      <c r="C62" s="34">
        <v>44409</v>
      </c>
      <c r="D62" s="34">
        <v>44439</v>
      </c>
      <c r="E62" s="33">
        <v>33.549999999999997</v>
      </c>
      <c r="F62" s="147">
        <v>0</v>
      </c>
      <c r="G62" s="35">
        <f t="shared" si="42"/>
        <v>0</v>
      </c>
      <c r="H62" s="144">
        <v>43588</v>
      </c>
      <c r="I62" s="144">
        <v>0</v>
      </c>
      <c r="J62" s="144">
        <v>0</v>
      </c>
      <c r="K62" s="144">
        <v>0</v>
      </c>
      <c r="L62" s="144">
        <v>0</v>
      </c>
      <c r="M62" s="147">
        <f t="shared" si="37"/>
        <v>43588</v>
      </c>
      <c r="N62" s="36">
        <v>0</v>
      </c>
      <c r="O62" s="36">
        <v>0</v>
      </c>
      <c r="P62" s="36">
        <v>0</v>
      </c>
      <c r="Q62" s="36">
        <v>0</v>
      </c>
    </row>
    <row r="63" spans="1:17" x14ac:dyDescent="0.2">
      <c r="A63" s="369"/>
      <c r="B63" s="33">
        <v>9</v>
      </c>
      <c r="C63" s="34">
        <v>44440</v>
      </c>
      <c r="D63" s="34">
        <v>44469</v>
      </c>
      <c r="E63" s="33">
        <v>33.481000000000002</v>
      </c>
      <c r="F63" s="147">
        <v>0</v>
      </c>
      <c r="G63" s="35">
        <f t="shared" si="42"/>
        <v>0</v>
      </c>
      <c r="H63" s="144">
        <v>43588</v>
      </c>
      <c r="I63" s="144">
        <v>0</v>
      </c>
      <c r="J63" s="144">
        <v>0</v>
      </c>
      <c r="K63" s="144">
        <v>0</v>
      </c>
      <c r="L63" s="144">
        <v>0</v>
      </c>
      <c r="M63" s="147">
        <f t="shared" si="37"/>
        <v>43588</v>
      </c>
      <c r="N63" s="36">
        <v>0</v>
      </c>
      <c r="O63" s="36">
        <v>0</v>
      </c>
      <c r="P63" s="36">
        <v>0</v>
      </c>
      <c r="Q63" s="36">
        <v>0</v>
      </c>
    </row>
    <row r="64" spans="1:17" x14ac:dyDescent="0.2">
      <c r="A64" s="369"/>
      <c r="B64" s="33">
        <v>10</v>
      </c>
      <c r="C64" s="34">
        <v>44470</v>
      </c>
      <c r="D64" s="34">
        <v>44500</v>
      </c>
      <c r="E64" s="33">
        <v>33.680500000000002</v>
      </c>
      <c r="F64" s="147">
        <v>2874</v>
      </c>
      <c r="G64" s="35">
        <f t="shared" si="42"/>
        <v>96797.757000000012</v>
      </c>
      <c r="H64" s="144">
        <v>38238</v>
      </c>
      <c r="I64" s="144">
        <v>5872</v>
      </c>
      <c r="J64" s="144">
        <v>476789</v>
      </c>
      <c r="K64" s="144">
        <f>9046+5209</f>
        <v>14255</v>
      </c>
      <c r="L64" s="144">
        <v>7655</v>
      </c>
      <c r="M64" s="147">
        <f t="shared" si="37"/>
        <v>542809</v>
      </c>
      <c r="N64" s="36">
        <f t="shared" si="38"/>
        <v>188.8688239387613</v>
      </c>
      <c r="O64" s="36">
        <f t="shared" si="39"/>
        <v>165.8973556019485</v>
      </c>
      <c r="P64" s="36">
        <f t="shared" si="40"/>
        <v>15.34794711203897</v>
      </c>
      <c r="Q64" s="36">
        <f t="shared" si="41"/>
        <v>7.6235212247738344</v>
      </c>
    </row>
    <row r="65" spans="1:17" x14ac:dyDescent="0.2">
      <c r="A65" s="369"/>
      <c r="B65" s="33">
        <v>11</v>
      </c>
      <c r="C65" s="34">
        <v>44501</v>
      </c>
      <c r="D65" s="34">
        <v>44530</v>
      </c>
      <c r="E65" s="33">
        <v>33.653599999999997</v>
      </c>
      <c r="F65" s="147">
        <v>4899</v>
      </c>
      <c r="G65" s="35">
        <f t="shared" si="42"/>
        <v>164868.98639999999</v>
      </c>
      <c r="H65" s="144">
        <v>37004</v>
      </c>
      <c r="I65" s="144">
        <v>10001</v>
      </c>
      <c r="J65" s="144">
        <v>812033</v>
      </c>
      <c r="K65" s="144">
        <f>15407+8590</f>
        <v>23997</v>
      </c>
      <c r="L65" s="144">
        <v>13037</v>
      </c>
      <c r="M65" s="147">
        <f t="shared" si="37"/>
        <v>896072</v>
      </c>
      <c r="N65" s="36">
        <f t="shared" si="38"/>
        <v>182.909165135742</v>
      </c>
      <c r="O65" s="36">
        <f t="shared" si="39"/>
        <v>165.75484792814859</v>
      </c>
      <c r="P65" s="36">
        <f t="shared" si="40"/>
        <v>9.5948152684221277</v>
      </c>
      <c r="Q65" s="36">
        <f t="shared" si="41"/>
        <v>7.559501939171259</v>
      </c>
    </row>
    <row r="66" spans="1:17" ht="15" thickBot="1" x14ac:dyDescent="0.25">
      <c r="A66" s="369"/>
      <c r="B66" s="33">
        <v>12</v>
      </c>
      <c r="C66" s="34">
        <v>44531</v>
      </c>
      <c r="D66" s="34">
        <v>44561</v>
      </c>
      <c r="E66" s="33">
        <v>34.072000000000003</v>
      </c>
      <c r="F66" s="147">
        <v>5274</v>
      </c>
      <c r="G66" s="35">
        <f t="shared" si="42"/>
        <v>179695.728</v>
      </c>
      <c r="H66" s="144">
        <f>38237+382</f>
        <v>38619</v>
      </c>
      <c r="I66" s="144">
        <v>10902</v>
      </c>
      <c r="J66" s="144">
        <v>885223</v>
      </c>
      <c r="K66" s="144">
        <f>16796+8961</f>
        <v>25757</v>
      </c>
      <c r="L66" s="144">
        <v>14212</v>
      </c>
      <c r="M66" s="147">
        <f t="shared" si="37"/>
        <v>974713</v>
      </c>
      <c r="N66" s="36">
        <f t="shared" ref="N66" si="43">+M66/F66</f>
        <v>184.81475161167995</v>
      </c>
      <c r="O66" s="36">
        <f t="shared" ref="O66" si="44">+J66/F66</f>
        <v>167.84660599165719</v>
      </c>
      <c r="P66" s="36">
        <f t="shared" ref="P66" si="45">+(H66+I66)/F66</f>
        <v>9.3896473265073954</v>
      </c>
      <c r="Q66" s="36">
        <f t="shared" ref="Q66" si="46">+(K66+L66)/F66</f>
        <v>7.5784982935153584</v>
      </c>
    </row>
    <row r="67" spans="1:17" ht="27" customHeight="1" thickTop="1" thickBot="1" x14ac:dyDescent="0.25">
      <c r="A67" s="361" t="s">
        <v>6</v>
      </c>
      <c r="B67" s="362"/>
      <c r="C67" s="362"/>
      <c r="D67" s="363"/>
      <c r="E67" s="49">
        <f>+G67/F67</f>
        <v>33.829804161264988</v>
      </c>
      <c r="F67" s="40">
        <f t="shared" ref="F67:M67" si="47">SUM(F55:F66)</f>
        <v>29745.353999999999</v>
      </c>
      <c r="G67" s="40">
        <f t="shared" si="47"/>
        <v>1006279.5005275001</v>
      </c>
      <c r="H67" s="40">
        <f t="shared" si="47"/>
        <v>506153</v>
      </c>
      <c r="I67" s="40">
        <f t="shared" si="47"/>
        <v>52761</v>
      </c>
      <c r="J67" s="40">
        <f t="shared" si="47"/>
        <v>3054186</v>
      </c>
      <c r="K67" s="40">
        <f t="shared" si="47"/>
        <v>116796</v>
      </c>
      <c r="L67" s="40">
        <f t="shared" si="47"/>
        <v>79569</v>
      </c>
      <c r="M67" s="40">
        <f t="shared" si="47"/>
        <v>3809465</v>
      </c>
      <c r="N67" s="41">
        <f t="shared" si="38"/>
        <v>128.06924402378939</v>
      </c>
      <c r="O67" s="41">
        <f t="shared" si="39"/>
        <v>102.6777492713652</v>
      </c>
      <c r="P67" s="41">
        <f t="shared" si="40"/>
        <v>18.789959601758312</v>
      </c>
      <c r="Q67" s="41">
        <f t="shared" si="41"/>
        <v>6.6015351506658826</v>
      </c>
    </row>
    <row r="68" spans="1:17" ht="38.25" customHeight="1" thickTop="1" x14ac:dyDescent="0.2">
      <c r="A68" s="98" t="s">
        <v>86</v>
      </c>
      <c r="B68" s="355" t="s">
        <v>189</v>
      </c>
      <c r="C68" s="355"/>
      <c r="D68" s="355"/>
      <c r="E68" s="66" t="s">
        <v>180</v>
      </c>
      <c r="F68" s="99">
        <v>25</v>
      </c>
      <c r="G68" s="99"/>
      <c r="H68" s="99" t="s">
        <v>177</v>
      </c>
      <c r="I68" s="371">
        <v>40400008208840</v>
      </c>
      <c r="J68" s="371"/>
      <c r="K68" s="370" t="s">
        <v>148</v>
      </c>
      <c r="L68" s="370"/>
      <c r="M68" s="370"/>
      <c r="N68" s="370"/>
      <c r="O68" s="44" t="s">
        <v>433</v>
      </c>
      <c r="P68" s="44"/>
      <c r="Q68" s="44"/>
    </row>
    <row r="69" spans="1:17" ht="15" thickBot="1" x14ac:dyDescent="0.25"/>
    <row r="70" spans="1:17" ht="42.75" customHeight="1" thickTop="1" thickBot="1" x14ac:dyDescent="0.25">
      <c r="A70" s="364" t="s">
        <v>64</v>
      </c>
      <c r="B70" s="366" t="s">
        <v>0</v>
      </c>
      <c r="C70" s="360" t="s">
        <v>5</v>
      </c>
      <c r="D70" s="360"/>
      <c r="E70" s="360" t="s">
        <v>65</v>
      </c>
      <c r="F70" s="360" t="s">
        <v>2</v>
      </c>
      <c r="G70" s="360"/>
      <c r="H70" s="357" t="s">
        <v>13</v>
      </c>
      <c r="I70" s="358"/>
      <c r="J70" s="358"/>
      <c r="K70" s="358"/>
      <c r="L70" s="358"/>
      <c r="M70" s="358"/>
      <c r="N70" s="357" t="s">
        <v>66</v>
      </c>
      <c r="O70" s="358"/>
      <c r="P70" s="358"/>
      <c r="Q70" s="359"/>
    </row>
    <row r="71" spans="1:17" ht="51.75" customHeight="1" thickTop="1" thickBot="1" x14ac:dyDescent="0.25">
      <c r="A71" s="365"/>
      <c r="B71" s="367"/>
      <c r="C71" s="65" t="s">
        <v>3</v>
      </c>
      <c r="D71" s="65" t="s">
        <v>4</v>
      </c>
      <c r="E71" s="360"/>
      <c r="F71" s="65" t="s">
        <v>67</v>
      </c>
      <c r="G71" s="65" t="s">
        <v>1</v>
      </c>
      <c r="H71" s="65" t="s">
        <v>429</v>
      </c>
      <c r="I71" s="65" t="s">
        <v>15</v>
      </c>
      <c r="J71" s="65" t="s">
        <v>16</v>
      </c>
      <c r="K71" s="63" t="s">
        <v>431</v>
      </c>
      <c r="L71" s="63" t="s">
        <v>26</v>
      </c>
      <c r="M71" s="63" t="s">
        <v>19</v>
      </c>
      <c r="N71" s="64" t="s">
        <v>6</v>
      </c>
      <c r="O71" s="64" t="s">
        <v>21</v>
      </c>
      <c r="P71" s="64" t="s">
        <v>20</v>
      </c>
      <c r="Q71" s="64" t="s">
        <v>27</v>
      </c>
    </row>
    <row r="72" spans="1:17" ht="15.75" customHeight="1" thickTop="1" x14ac:dyDescent="0.2">
      <c r="A72" s="368" t="s">
        <v>161</v>
      </c>
      <c r="B72" s="29">
        <v>1</v>
      </c>
      <c r="C72" s="30">
        <v>44197</v>
      </c>
      <c r="D72" s="30">
        <v>44227</v>
      </c>
      <c r="E72" s="29">
        <v>34.042299999999997</v>
      </c>
      <c r="F72" s="146">
        <v>12501</v>
      </c>
      <c r="G72" s="31">
        <f>+F72*E72</f>
        <v>425562.79229999997</v>
      </c>
      <c r="H72" s="144">
        <v>107450</v>
      </c>
      <c r="I72" s="143">
        <v>19576</v>
      </c>
      <c r="J72" s="143">
        <v>663027</v>
      </c>
      <c r="K72" s="143">
        <v>39768</v>
      </c>
      <c r="L72" s="143">
        <v>33650</v>
      </c>
      <c r="M72" s="146">
        <f>+L72+K72+J72+I72+H72</f>
        <v>863471</v>
      </c>
      <c r="N72" s="32">
        <f>+M72/F72</f>
        <v>69.072154227661784</v>
      </c>
      <c r="O72" s="32">
        <f>+J72/F72</f>
        <v>53.037916966642669</v>
      </c>
      <c r="P72" s="32">
        <f>+(H72+I72)/F72</f>
        <v>10.161267098632109</v>
      </c>
      <c r="Q72" s="32">
        <f>+(K72+L72)/F72</f>
        <v>5.8729701623870092</v>
      </c>
    </row>
    <row r="73" spans="1:17" x14ac:dyDescent="0.2">
      <c r="A73" s="369"/>
      <c r="B73" s="33">
        <v>2</v>
      </c>
      <c r="C73" s="34">
        <v>44228</v>
      </c>
      <c r="D73" s="162">
        <v>44255</v>
      </c>
      <c r="E73" s="33">
        <v>33.796300000000002</v>
      </c>
      <c r="F73" s="147">
        <v>9835</v>
      </c>
      <c r="G73" s="35">
        <f>+F73*E73</f>
        <v>332386.61050000001</v>
      </c>
      <c r="H73" s="144">
        <v>107450</v>
      </c>
      <c r="I73" s="144">
        <v>15290</v>
      </c>
      <c r="J73" s="144">
        <v>517859</v>
      </c>
      <c r="K73" s="144">
        <v>31057</v>
      </c>
      <c r="L73" s="144">
        <v>26280</v>
      </c>
      <c r="M73" s="147">
        <f t="shared" ref="M73:M83" si="48">+L73+K73+J73+I73+H73</f>
        <v>697936</v>
      </c>
      <c r="N73" s="36">
        <f t="shared" ref="N73:N84" si="49">+M73/F73</f>
        <v>70.964514489069643</v>
      </c>
      <c r="O73" s="36">
        <f t="shared" ref="O73:O84" si="50">+J73/F73</f>
        <v>52.654702592780886</v>
      </c>
      <c r="P73" s="36">
        <f t="shared" ref="P73:P84" si="51">+(H73+I73)/F73</f>
        <v>12.479918657854601</v>
      </c>
      <c r="Q73" s="36">
        <f t="shared" ref="Q73:Q84" si="52">+(K73+L73)/F73</f>
        <v>5.8298932384341633</v>
      </c>
    </row>
    <row r="74" spans="1:17" x14ac:dyDescent="0.2">
      <c r="A74" s="369"/>
      <c r="B74" s="33">
        <v>3</v>
      </c>
      <c r="C74" s="34">
        <v>44256</v>
      </c>
      <c r="D74" s="34">
        <v>44286</v>
      </c>
      <c r="E74" s="33">
        <v>33.645000000000003</v>
      </c>
      <c r="F74" s="147">
        <v>7073</v>
      </c>
      <c r="G74" s="35">
        <f t="shared" ref="G74:G83" si="53">+F74*E74</f>
        <v>237971.08500000002</v>
      </c>
      <c r="H74" s="144">
        <v>107450</v>
      </c>
      <c r="I74" s="144">
        <v>10947</v>
      </c>
      <c r="J74" s="144">
        <v>370759</v>
      </c>
      <c r="K74" s="144">
        <v>22237</v>
      </c>
      <c r="L74" s="144">
        <v>18818</v>
      </c>
      <c r="M74" s="147">
        <f t="shared" si="48"/>
        <v>530211</v>
      </c>
      <c r="N74" s="36">
        <f t="shared" si="49"/>
        <v>74.962674961119745</v>
      </c>
      <c r="O74" s="36">
        <f t="shared" si="50"/>
        <v>52.41891700834158</v>
      </c>
      <c r="P74" s="36">
        <f t="shared" si="51"/>
        <v>16.739290258730382</v>
      </c>
      <c r="Q74" s="36">
        <f t="shared" si="52"/>
        <v>5.8044676940477871</v>
      </c>
    </row>
    <row r="75" spans="1:17" x14ac:dyDescent="0.2">
      <c r="A75" s="369"/>
      <c r="B75" s="33">
        <v>4</v>
      </c>
      <c r="C75" s="34">
        <v>44287</v>
      </c>
      <c r="D75" s="292">
        <v>44316</v>
      </c>
      <c r="E75" s="33">
        <v>33.488799999999998</v>
      </c>
      <c r="F75" s="147">
        <v>5403</v>
      </c>
      <c r="G75" s="35">
        <f>+F75*E75</f>
        <v>180939.98639999999</v>
      </c>
      <c r="H75" s="144">
        <v>107450</v>
      </c>
      <c r="I75" s="144">
        <v>8323</v>
      </c>
      <c r="J75" s="144">
        <v>281905</v>
      </c>
      <c r="K75" s="144">
        <v>16907</v>
      </c>
      <c r="L75" s="144">
        <v>14306</v>
      </c>
      <c r="M75" s="147">
        <f t="shared" si="48"/>
        <v>428891</v>
      </c>
      <c r="N75" s="36">
        <f t="shared" si="49"/>
        <v>79.380159170831021</v>
      </c>
      <c r="O75" s="36">
        <f t="shared" si="50"/>
        <v>52.175643161206736</v>
      </c>
      <c r="P75" s="36">
        <f t="shared" si="51"/>
        <v>21.42754025541366</v>
      </c>
      <c r="Q75" s="36">
        <f t="shared" si="52"/>
        <v>5.7769757542106239</v>
      </c>
    </row>
    <row r="76" spans="1:17" x14ac:dyDescent="0.2">
      <c r="A76" s="369"/>
      <c r="B76" s="33">
        <v>5</v>
      </c>
      <c r="C76" s="34">
        <v>44317</v>
      </c>
      <c r="D76" s="34">
        <v>44347</v>
      </c>
      <c r="E76" s="33">
        <v>33.529800000000002</v>
      </c>
      <c r="F76" s="147">
        <v>2482</v>
      </c>
      <c r="G76" s="35">
        <f t="shared" si="53"/>
        <v>83220.963600000003</v>
      </c>
      <c r="H76" s="144">
        <v>107450</v>
      </c>
      <c r="I76" s="144">
        <v>3828</v>
      </c>
      <c r="J76" s="144">
        <v>129658</v>
      </c>
      <c r="K76" s="144">
        <v>7776</v>
      </c>
      <c r="L76" s="144">
        <v>6581</v>
      </c>
      <c r="M76" s="147">
        <f t="shared" si="48"/>
        <v>255293</v>
      </c>
      <c r="N76" s="36">
        <f t="shared" si="49"/>
        <v>102.85777598710717</v>
      </c>
      <c r="O76" s="36">
        <f t="shared" si="50"/>
        <v>52.239323126510875</v>
      </c>
      <c r="P76" s="36">
        <f t="shared" si="51"/>
        <v>44.834004834810635</v>
      </c>
      <c r="Q76" s="36">
        <f t="shared" si="52"/>
        <v>5.7844480257856565</v>
      </c>
    </row>
    <row r="77" spans="1:17" x14ac:dyDescent="0.2">
      <c r="A77" s="369"/>
      <c r="B77" s="33">
        <v>6</v>
      </c>
      <c r="C77" s="34">
        <v>44348</v>
      </c>
      <c r="D77" s="34">
        <v>44377</v>
      </c>
      <c r="E77" s="33">
        <v>33.463000000000001</v>
      </c>
      <c r="F77" s="147">
        <v>837</v>
      </c>
      <c r="G77" s="35">
        <f t="shared" si="53"/>
        <v>28008.530999999999</v>
      </c>
      <c r="H77" s="144">
        <v>107450</v>
      </c>
      <c r="I77" s="144">
        <v>1288</v>
      </c>
      <c r="J77" s="144">
        <v>43638</v>
      </c>
      <c r="K77" s="144">
        <v>2617</v>
      </c>
      <c r="L77" s="144">
        <v>2213</v>
      </c>
      <c r="M77" s="147">
        <f t="shared" si="48"/>
        <v>157206</v>
      </c>
      <c r="N77" s="36">
        <f t="shared" si="49"/>
        <v>187.82078853046596</v>
      </c>
      <c r="O77" s="36">
        <f t="shared" si="50"/>
        <v>52.136200716845877</v>
      </c>
      <c r="P77" s="36">
        <f t="shared" si="51"/>
        <v>129.91397849462365</v>
      </c>
      <c r="Q77" s="36">
        <f t="shared" si="52"/>
        <v>5.7706093189964154</v>
      </c>
    </row>
    <row r="78" spans="1:17" x14ac:dyDescent="0.2">
      <c r="A78" s="369"/>
      <c r="B78" s="33">
        <v>7</v>
      </c>
      <c r="C78" s="34">
        <v>44378</v>
      </c>
      <c r="D78" s="34">
        <v>44408</v>
      </c>
      <c r="E78" s="33">
        <v>33.479999999999997</v>
      </c>
      <c r="F78" s="147">
        <v>368</v>
      </c>
      <c r="G78" s="35">
        <f t="shared" si="53"/>
        <v>12320.64</v>
      </c>
      <c r="H78" s="144">
        <v>107450</v>
      </c>
      <c r="I78" s="144">
        <v>567</v>
      </c>
      <c r="J78" s="144">
        <v>19195</v>
      </c>
      <c r="K78" s="144">
        <v>1151</v>
      </c>
      <c r="L78" s="144">
        <v>974</v>
      </c>
      <c r="M78" s="147">
        <f t="shared" si="48"/>
        <v>129337</v>
      </c>
      <c r="N78" s="36">
        <f t="shared" si="49"/>
        <v>351.45923913043481</v>
      </c>
      <c r="O78" s="36">
        <f t="shared" si="50"/>
        <v>52.160326086956523</v>
      </c>
      <c r="P78" s="36">
        <f t="shared" si="51"/>
        <v>293.52445652173913</v>
      </c>
      <c r="Q78" s="36">
        <f t="shared" si="52"/>
        <v>5.7744565217391308</v>
      </c>
    </row>
    <row r="79" spans="1:17" x14ac:dyDescent="0.2">
      <c r="A79" s="369"/>
      <c r="B79" s="33">
        <v>8</v>
      </c>
      <c r="C79" s="34">
        <v>44409</v>
      </c>
      <c r="D79" s="34">
        <v>44439</v>
      </c>
      <c r="E79" s="33">
        <v>33.36</v>
      </c>
      <c r="F79" s="147">
        <v>377</v>
      </c>
      <c r="G79" s="35">
        <f t="shared" si="53"/>
        <v>12576.72</v>
      </c>
      <c r="H79" s="144">
        <v>107450</v>
      </c>
      <c r="I79" s="144">
        <v>578</v>
      </c>
      <c r="J79" s="144">
        <v>19592</v>
      </c>
      <c r="K79" s="144">
        <v>1175</v>
      </c>
      <c r="L79" s="144">
        <v>995</v>
      </c>
      <c r="M79" s="147">
        <f t="shared" si="48"/>
        <v>129790</v>
      </c>
      <c r="N79" s="36">
        <f t="shared" si="49"/>
        <v>344.27055702917772</v>
      </c>
      <c r="O79" s="36">
        <f t="shared" si="50"/>
        <v>51.968169761273209</v>
      </c>
      <c r="P79" s="36">
        <f t="shared" si="51"/>
        <v>286.54641909814325</v>
      </c>
      <c r="Q79" s="36">
        <f t="shared" si="52"/>
        <v>5.7559681697612728</v>
      </c>
    </row>
    <row r="80" spans="1:17" x14ac:dyDescent="0.2">
      <c r="A80" s="369"/>
      <c r="B80" s="33">
        <v>9</v>
      </c>
      <c r="C80" s="34">
        <v>44440</v>
      </c>
      <c r="D80" s="34">
        <v>44469</v>
      </c>
      <c r="E80" s="33">
        <v>33.352165999999997</v>
      </c>
      <c r="F80" s="147">
        <v>663</v>
      </c>
      <c r="G80" s="35">
        <f t="shared" si="53"/>
        <v>22112.486057999999</v>
      </c>
      <c r="H80" s="144">
        <v>107450</v>
      </c>
      <c r="I80" s="144">
        <v>1017</v>
      </c>
      <c r="J80" s="144">
        <v>34450</v>
      </c>
      <c r="K80" s="144">
        <v>2066</v>
      </c>
      <c r="L80" s="144">
        <v>1748</v>
      </c>
      <c r="M80" s="147">
        <f t="shared" si="48"/>
        <v>146731</v>
      </c>
      <c r="N80" s="36">
        <f t="shared" si="49"/>
        <v>221.31372549019608</v>
      </c>
      <c r="O80" s="36">
        <f t="shared" si="50"/>
        <v>51.96078431372549</v>
      </c>
      <c r="P80" s="36">
        <f t="shared" si="51"/>
        <v>163.60030165912519</v>
      </c>
      <c r="Q80" s="36">
        <f t="shared" si="52"/>
        <v>5.7526395173453997</v>
      </c>
    </row>
    <row r="81" spans="1:17" x14ac:dyDescent="0.2">
      <c r="A81" s="369"/>
      <c r="B81" s="33">
        <v>10</v>
      </c>
      <c r="C81" s="34">
        <v>44470</v>
      </c>
      <c r="D81" s="34">
        <v>44500</v>
      </c>
      <c r="E81" s="33">
        <v>33.674999999999997</v>
      </c>
      <c r="F81" s="147">
        <v>4943</v>
      </c>
      <c r="G81" s="35">
        <f t="shared" si="53"/>
        <v>166455.52499999999</v>
      </c>
      <c r="H81" s="144">
        <f>99890</f>
        <v>99890</v>
      </c>
      <c r="I81" s="144">
        <v>10098</v>
      </c>
      <c r="J81" s="144">
        <v>819894</v>
      </c>
      <c r="K81" s="144">
        <f>15556+9299</f>
        <v>24855</v>
      </c>
      <c r="L81" s="144">
        <v>13163</v>
      </c>
      <c r="M81" s="147">
        <f t="shared" si="48"/>
        <v>967900</v>
      </c>
      <c r="N81" s="36">
        <f t="shared" si="49"/>
        <v>195.81225976127857</v>
      </c>
      <c r="O81" s="36">
        <f t="shared" si="50"/>
        <v>165.86971474812867</v>
      </c>
      <c r="P81" s="36">
        <f t="shared" si="51"/>
        <v>22.251264414323284</v>
      </c>
      <c r="Q81" s="36">
        <f t="shared" si="52"/>
        <v>7.6912805988266237</v>
      </c>
    </row>
    <row r="82" spans="1:17" x14ac:dyDescent="0.2">
      <c r="A82" s="369"/>
      <c r="B82" s="33">
        <v>11</v>
      </c>
      <c r="C82" s="34">
        <v>44501</v>
      </c>
      <c r="D82" s="34">
        <v>44530</v>
      </c>
      <c r="E82" s="33">
        <v>33.651899999999998</v>
      </c>
      <c r="F82" s="147">
        <v>10526</v>
      </c>
      <c r="G82" s="35">
        <f t="shared" si="53"/>
        <v>354219.89939999999</v>
      </c>
      <c r="H82" s="144">
        <v>96668</v>
      </c>
      <c r="I82" s="144">
        <v>21487</v>
      </c>
      <c r="J82" s="144">
        <v>1744652</v>
      </c>
      <c r="K82" s="144">
        <f>33102+18628</f>
        <v>51730</v>
      </c>
      <c r="L82" s="144">
        <v>28010</v>
      </c>
      <c r="M82" s="147">
        <f t="shared" si="48"/>
        <v>1942547</v>
      </c>
      <c r="N82" s="36">
        <f t="shared" si="49"/>
        <v>184.54750142504275</v>
      </c>
      <c r="O82" s="36">
        <f t="shared" si="50"/>
        <v>165.74691240737221</v>
      </c>
      <c r="P82" s="36">
        <f t="shared" si="51"/>
        <v>11.225061751852556</v>
      </c>
      <c r="Q82" s="36">
        <f t="shared" si="52"/>
        <v>7.5755272658179749</v>
      </c>
    </row>
    <row r="83" spans="1:17" ht="15" thickBot="1" x14ac:dyDescent="0.25">
      <c r="A83" s="369"/>
      <c r="B83" s="33">
        <v>12</v>
      </c>
      <c r="C83" s="34">
        <v>44531</v>
      </c>
      <c r="D83" s="34">
        <v>44561</v>
      </c>
      <c r="E83" s="33">
        <v>34.070399999999999</v>
      </c>
      <c r="F83" s="147">
        <v>11164</v>
      </c>
      <c r="G83" s="35">
        <f t="shared" si="53"/>
        <v>380361.94559999998</v>
      </c>
      <c r="H83" s="144">
        <f>99890+999</f>
        <v>100889</v>
      </c>
      <c r="I83" s="144">
        <v>23077</v>
      </c>
      <c r="J83" s="144">
        <v>1873740</v>
      </c>
      <c r="K83" s="144">
        <f>35551+18968</f>
        <v>54519</v>
      </c>
      <c r="L83" s="144">
        <v>30083</v>
      </c>
      <c r="M83" s="147">
        <f t="shared" si="48"/>
        <v>2082308</v>
      </c>
      <c r="N83" s="36">
        <f t="shared" si="49"/>
        <v>186.5198853457542</v>
      </c>
      <c r="O83" s="36">
        <f t="shared" si="50"/>
        <v>167.83769258330346</v>
      </c>
      <c r="P83" s="36">
        <f t="shared" si="51"/>
        <v>11.104084557506271</v>
      </c>
      <c r="Q83" s="36">
        <f t="shared" si="52"/>
        <v>7.5781082049444644</v>
      </c>
    </row>
    <row r="84" spans="1:17" ht="27" customHeight="1" thickTop="1" thickBot="1" x14ac:dyDescent="0.25">
      <c r="A84" s="361" t="s">
        <v>6</v>
      </c>
      <c r="B84" s="362"/>
      <c r="C84" s="362"/>
      <c r="D84" s="363"/>
      <c r="E84" s="49">
        <f>+G84/F84</f>
        <v>33.792800351477965</v>
      </c>
      <c r="F84" s="40">
        <f t="shared" ref="F84:M84" si="54">SUM(F72:F83)</f>
        <v>66172</v>
      </c>
      <c r="G84" s="40">
        <f t="shared" si="54"/>
        <v>2236137.1848579999</v>
      </c>
      <c r="H84" s="40">
        <f t="shared" si="54"/>
        <v>1264497</v>
      </c>
      <c r="I84" s="40">
        <f t="shared" si="54"/>
        <v>116076</v>
      </c>
      <c r="J84" s="40">
        <f t="shared" si="54"/>
        <v>6518369</v>
      </c>
      <c r="K84" s="40">
        <f t="shared" si="54"/>
        <v>255858</v>
      </c>
      <c r="L84" s="40">
        <f t="shared" si="54"/>
        <v>176821</v>
      </c>
      <c r="M84" s="40">
        <f t="shared" si="54"/>
        <v>8331621</v>
      </c>
      <c r="N84" s="41">
        <f t="shared" si="49"/>
        <v>125.90855648914949</v>
      </c>
      <c r="O84" s="41">
        <f t="shared" si="50"/>
        <v>98.506452880372365</v>
      </c>
      <c r="P84" s="41">
        <f t="shared" si="51"/>
        <v>20.86340143867497</v>
      </c>
      <c r="Q84" s="41">
        <f t="shared" si="52"/>
        <v>6.5387021701021579</v>
      </c>
    </row>
    <row r="85" spans="1:17" ht="30" customHeight="1" thickTop="1" x14ac:dyDescent="0.2">
      <c r="A85" s="98" t="s">
        <v>86</v>
      </c>
      <c r="B85" s="355" t="s">
        <v>191</v>
      </c>
      <c r="C85" s="355"/>
      <c r="D85" s="355"/>
      <c r="E85" s="66" t="s">
        <v>180</v>
      </c>
      <c r="F85" s="99">
        <v>65</v>
      </c>
      <c r="G85" s="99"/>
      <c r="H85" s="99" t="s">
        <v>177</v>
      </c>
      <c r="I85" s="371" t="s">
        <v>287</v>
      </c>
      <c r="J85" s="371"/>
      <c r="K85" s="370" t="s">
        <v>148</v>
      </c>
      <c r="L85" s="370"/>
      <c r="M85" s="370"/>
      <c r="N85" s="370"/>
      <c r="O85" s="44" t="s">
        <v>434</v>
      </c>
      <c r="P85" s="44"/>
      <c r="Q85" s="44"/>
    </row>
    <row r="86" spans="1:17" ht="15" thickBot="1" x14ac:dyDescent="0.25"/>
    <row r="87" spans="1:17" ht="35.25" customHeight="1" thickTop="1" thickBot="1" x14ac:dyDescent="0.25">
      <c r="A87" s="364" t="s">
        <v>64</v>
      </c>
      <c r="B87" s="366" t="s">
        <v>0</v>
      </c>
      <c r="C87" s="360" t="s">
        <v>5</v>
      </c>
      <c r="D87" s="360"/>
      <c r="E87" s="360" t="s">
        <v>65</v>
      </c>
      <c r="F87" s="360" t="s">
        <v>2</v>
      </c>
      <c r="G87" s="360"/>
      <c r="H87" s="357" t="s">
        <v>308</v>
      </c>
      <c r="I87" s="358"/>
      <c r="J87" s="358"/>
      <c r="K87" s="358"/>
      <c r="L87" s="358"/>
      <c r="M87" s="358"/>
      <c r="N87" s="357" t="s">
        <v>66</v>
      </c>
      <c r="O87" s="358"/>
      <c r="P87" s="358"/>
      <c r="Q87" s="359"/>
    </row>
    <row r="88" spans="1:17" ht="46.5" thickTop="1" thickBot="1" x14ac:dyDescent="0.25">
      <c r="A88" s="365"/>
      <c r="B88" s="367"/>
      <c r="C88" s="171" t="s">
        <v>3</v>
      </c>
      <c r="D88" s="171" t="s">
        <v>4</v>
      </c>
      <c r="E88" s="360"/>
      <c r="F88" s="171" t="s">
        <v>306</v>
      </c>
      <c r="G88" s="171" t="s">
        <v>307</v>
      </c>
      <c r="H88" s="171" t="s">
        <v>429</v>
      </c>
      <c r="I88" s="171" t="s">
        <v>15</v>
      </c>
      <c r="J88" s="171" t="s">
        <v>16</v>
      </c>
      <c r="K88" s="167" t="s">
        <v>379</v>
      </c>
      <c r="L88" s="167" t="s">
        <v>26</v>
      </c>
      <c r="M88" s="167" t="s">
        <v>19</v>
      </c>
      <c r="N88" s="170" t="s">
        <v>6</v>
      </c>
      <c r="O88" s="170" t="s">
        <v>21</v>
      </c>
      <c r="P88" s="170" t="s">
        <v>20</v>
      </c>
      <c r="Q88" s="170" t="s">
        <v>27</v>
      </c>
    </row>
    <row r="89" spans="1:17" ht="77.25" customHeight="1" thickTop="1" thickBot="1" x14ac:dyDescent="0.25">
      <c r="A89" s="168" t="s">
        <v>303</v>
      </c>
      <c r="B89" s="76">
        <v>1</v>
      </c>
      <c r="C89" s="78">
        <v>44197</v>
      </c>
      <c r="D89" s="78">
        <v>44561</v>
      </c>
      <c r="E89" s="307">
        <f>+G89/F89</f>
        <v>33.839953939451625</v>
      </c>
      <c r="F89" s="163">
        <f t="shared" ref="F89:M89" si="55">+F84+F67+F50+F33+F16</f>
        <v>172953.0307107878</v>
      </c>
      <c r="G89" s="79">
        <f t="shared" si="55"/>
        <v>5852722.5929416222</v>
      </c>
      <c r="H89" s="79">
        <f t="shared" si="55"/>
        <v>4553161</v>
      </c>
      <c r="I89" s="79">
        <f t="shared" si="55"/>
        <v>304953</v>
      </c>
      <c r="J89" s="79">
        <f t="shared" si="55"/>
        <v>17322671</v>
      </c>
      <c r="K89" s="79">
        <f t="shared" si="55"/>
        <v>675040</v>
      </c>
      <c r="L89" s="79">
        <f t="shared" si="55"/>
        <v>462828</v>
      </c>
      <c r="M89" s="79">
        <f t="shared" si="55"/>
        <v>23318653</v>
      </c>
      <c r="N89" s="93">
        <f>+M89/F89</f>
        <v>134.82650696646922</v>
      </c>
      <c r="O89" s="93">
        <f>+J89/F89</f>
        <v>100.15823908265004</v>
      </c>
      <c r="P89" s="93">
        <f>+(H89+I89)/F89</f>
        <v>28.089210001319618</v>
      </c>
      <c r="Q89" s="93">
        <f>+(K89+L89)/F89</f>
        <v>6.5790578824995771</v>
      </c>
    </row>
    <row r="90" spans="1:17" ht="16.5" thickTop="1" thickBot="1" x14ac:dyDescent="0.25">
      <c r="A90" s="361" t="s">
        <v>6</v>
      </c>
      <c r="B90" s="362"/>
      <c r="C90" s="362"/>
      <c r="D90" s="363"/>
      <c r="E90" s="49">
        <f>+G90/F90</f>
        <v>33.839953939451625</v>
      </c>
      <c r="F90" s="40">
        <f t="shared" ref="F90:M90" si="56">SUM(F89:F89)</f>
        <v>172953.0307107878</v>
      </c>
      <c r="G90" s="40">
        <f t="shared" si="56"/>
        <v>5852722.5929416222</v>
      </c>
      <c r="H90" s="40">
        <f t="shared" si="56"/>
        <v>4553161</v>
      </c>
      <c r="I90" s="40">
        <f t="shared" si="56"/>
        <v>304953</v>
      </c>
      <c r="J90" s="40">
        <f t="shared" si="56"/>
        <v>17322671</v>
      </c>
      <c r="K90" s="40">
        <f t="shared" si="56"/>
        <v>675040</v>
      </c>
      <c r="L90" s="40">
        <f t="shared" si="56"/>
        <v>462828</v>
      </c>
      <c r="M90" s="40">
        <f t="shared" si="56"/>
        <v>23318653</v>
      </c>
      <c r="N90" s="41">
        <f t="shared" ref="N90" si="57">+M90/F90</f>
        <v>134.82650696646922</v>
      </c>
      <c r="O90" s="41">
        <f t="shared" ref="O90" si="58">+J90/F90</f>
        <v>100.15823908265004</v>
      </c>
      <c r="P90" s="41">
        <f t="shared" ref="P90" si="59">+(H90+I90)/F90</f>
        <v>28.089210001319618</v>
      </c>
      <c r="Q90" s="41">
        <f t="shared" ref="Q90" si="60">+(K90+L90)/F90</f>
        <v>6.5790578824995771</v>
      </c>
    </row>
    <row r="91" spans="1:17" ht="15" thickTop="1" x14ac:dyDescent="0.2"/>
    <row r="92" spans="1:17" ht="15" thickBot="1" x14ac:dyDescent="0.25"/>
    <row r="93" spans="1:17" ht="30.75" customHeight="1" thickTop="1" thickBot="1" x14ac:dyDescent="0.25">
      <c r="A93" s="376" t="s">
        <v>64</v>
      </c>
      <c r="B93" s="378" t="s">
        <v>0</v>
      </c>
      <c r="C93" s="375" t="s">
        <v>5</v>
      </c>
      <c r="D93" s="375"/>
      <c r="E93" s="375" t="s">
        <v>65</v>
      </c>
      <c r="F93" s="375" t="s">
        <v>2</v>
      </c>
      <c r="G93" s="375"/>
      <c r="H93" s="372" t="s">
        <v>13</v>
      </c>
      <c r="I93" s="373"/>
      <c r="J93" s="373"/>
      <c r="K93" s="373"/>
      <c r="L93" s="373"/>
      <c r="M93" s="373"/>
      <c r="N93" s="372" t="s">
        <v>66</v>
      </c>
      <c r="O93" s="373"/>
      <c r="P93" s="373"/>
      <c r="Q93" s="374"/>
    </row>
    <row r="94" spans="1:17" ht="46.5" thickTop="1" thickBot="1" x14ac:dyDescent="0.25">
      <c r="A94" s="377"/>
      <c r="B94" s="379"/>
      <c r="C94" s="220" t="s">
        <v>3</v>
      </c>
      <c r="D94" s="220" t="s">
        <v>4</v>
      </c>
      <c r="E94" s="375"/>
      <c r="F94" s="220" t="s">
        <v>67</v>
      </c>
      <c r="G94" s="220" t="s">
        <v>1</v>
      </c>
      <c r="H94" s="220" t="s">
        <v>14</v>
      </c>
      <c r="I94" s="220" t="s">
        <v>15</v>
      </c>
      <c r="J94" s="220" t="s">
        <v>16</v>
      </c>
      <c r="K94" s="221" t="s">
        <v>379</v>
      </c>
      <c r="L94" s="221" t="s">
        <v>26</v>
      </c>
      <c r="M94" s="221" t="s">
        <v>19</v>
      </c>
      <c r="N94" s="222" t="s">
        <v>6</v>
      </c>
      <c r="O94" s="222" t="s">
        <v>21</v>
      </c>
      <c r="P94" s="222" t="s">
        <v>20</v>
      </c>
      <c r="Q94" s="222" t="s">
        <v>27</v>
      </c>
    </row>
    <row r="95" spans="1:17" ht="15" thickTop="1" x14ac:dyDescent="0.2">
      <c r="A95" s="368" t="s">
        <v>338</v>
      </c>
      <c r="B95" s="29">
        <v>1</v>
      </c>
      <c r="C95" s="30">
        <v>44197</v>
      </c>
      <c r="D95" s="30">
        <v>44227</v>
      </c>
      <c r="E95" s="29">
        <f t="shared" ref="E95:E106" si="61">+E4</f>
        <v>34.042299999999997</v>
      </c>
      <c r="F95" s="223">
        <f t="shared" ref="F95:L106" si="62">+F72+F55+F38+F21+F4</f>
        <v>35635.365195571387</v>
      </c>
      <c r="G95" s="31">
        <f t="shared" si="62"/>
        <v>1213109.7925972</v>
      </c>
      <c r="H95" s="35">
        <f t="shared" si="62"/>
        <v>369981</v>
      </c>
      <c r="I95" s="35">
        <f t="shared" si="62"/>
        <v>55802</v>
      </c>
      <c r="J95" s="35">
        <f t="shared" si="62"/>
        <v>1889751</v>
      </c>
      <c r="K95" s="35">
        <f t="shared" si="62"/>
        <v>113372</v>
      </c>
      <c r="L95" s="35">
        <f t="shared" si="62"/>
        <v>95933</v>
      </c>
      <c r="M95" s="223">
        <f>+L95+K95+J95+I95+H95</f>
        <v>2524839</v>
      </c>
      <c r="N95" s="32">
        <f>+M95/F95</f>
        <v>70.852059075117225</v>
      </c>
      <c r="O95" s="32">
        <f>+J95/F95</f>
        <v>53.030212813277139</v>
      </c>
      <c r="P95" s="32">
        <f>+(H95+I95)/F95</f>
        <v>11.948327108849568</v>
      </c>
      <c r="Q95" s="32">
        <f>+(K95+L95)/F95</f>
        <v>5.8735191529905117</v>
      </c>
    </row>
    <row r="96" spans="1:17" x14ac:dyDescent="0.2">
      <c r="A96" s="369"/>
      <c r="B96" s="33">
        <v>2</v>
      </c>
      <c r="C96" s="34">
        <v>44228</v>
      </c>
      <c r="D96" s="34">
        <v>44255</v>
      </c>
      <c r="E96" s="33">
        <f t="shared" si="61"/>
        <v>33.796399999999998</v>
      </c>
      <c r="F96" s="224">
        <f t="shared" si="62"/>
        <v>28917.86949063214</v>
      </c>
      <c r="G96" s="35">
        <f t="shared" si="62"/>
        <v>977318.19333739986</v>
      </c>
      <c r="H96" s="35">
        <f t="shared" si="62"/>
        <v>369981</v>
      </c>
      <c r="I96" s="35">
        <f t="shared" si="62"/>
        <v>44956</v>
      </c>
      <c r="J96" s="35">
        <f t="shared" si="62"/>
        <v>1522663</v>
      </c>
      <c r="K96" s="35">
        <f t="shared" si="62"/>
        <v>91328</v>
      </c>
      <c r="L96" s="35">
        <f t="shared" si="62"/>
        <v>77279</v>
      </c>
      <c r="M96" s="224">
        <f t="shared" ref="M96:M106" si="63">+L96+K96+J96+I96+H96</f>
        <v>2106207</v>
      </c>
      <c r="N96" s="36">
        <f t="shared" ref="N96:N107" si="64">+M96/F96</f>
        <v>72.83410005990585</v>
      </c>
      <c r="O96" s="36">
        <f t="shared" ref="O96:O107" si="65">+J96/F96</f>
        <v>52.654743479399905</v>
      </c>
      <c r="P96" s="36">
        <f t="shared" ref="P96:P107" si="66">+(H96+I96)/F96</f>
        <v>14.348809483852801</v>
      </c>
      <c r="Q96" s="36">
        <f t="shared" ref="Q96:Q107" si="67">+(K96+L96)/F96</f>
        <v>5.8305470966531523</v>
      </c>
    </row>
    <row r="97" spans="1:17" x14ac:dyDescent="0.2">
      <c r="A97" s="369"/>
      <c r="B97" s="33">
        <v>3</v>
      </c>
      <c r="C97" s="34">
        <v>44256</v>
      </c>
      <c r="D97" s="34">
        <v>44286</v>
      </c>
      <c r="E97" s="33">
        <f t="shared" si="61"/>
        <v>33.645000000000003</v>
      </c>
      <c r="F97" s="224">
        <f t="shared" si="62"/>
        <v>15639.693533592967</v>
      </c>
      <c r="G97" s="35">
        <f t="shared" si="62"/>
        <v>528124.10463000007</v>
      </c>
      <c r="H97" s="35">
        <f t="shared" si="62"/>
        <v>369981</v>
      </c>
      <c r="I97" s="35">
        <f t="shared" si="62"/>
        <v>24294</v>
      </c>
      <c r="J97" s="35">
        <f t="shared" si="62"/>
        <v>822816</v>
      </c>
      <c r="K97" s="35">
        <f t="shared" si="62"/>
        <v>49348</v>
      </c>
      <c r="L97" s="35">
        <f t="shared" si="62"/>
        <v>41761</v>
      </c>
      <c r="M97" s="224">
        <f t="shared" si="63"/>
        <v>1308200</v>
      </c>
      <c r="N97" s="36">
        <f t="shared" si="64"/>
        <v>83.646140328138657</v>
      </c>
      <c r="O97" s="36">
        <f t="shared" si="65"/>
        <v>52.610749579756714</v>
      </c>
      <c r="P97" s="36">
        <f t="shared" si="66"/>
        <v>25.209892965813232</v>
      </c>
      <c r="Q97" s="36">
        <f t="shared" si="67"/>
        <v>5.8254977825687089</v>
      </c>
    </row>
    <row r="98" spans="1:17" x14ac:dyDescent="0.2">
      <c r="A98" s="369"/>
      <c r="B98" s="33">
        <v>4</v>
      </c>
      <c r="C98" s="34">
        <v>44287</v>
      </c>
      <c r="D98" s="34">
        <v>44316</v>
      </c>
      <c r="E98" s="33">
        <f t="shared" si="61"/>
        <v>33.488999999999997</v>
      </c>
      <c r="F98" s="224">
        <f t="shared" si="62"/>
        <v>12464.897311683846</v>
      </c>
      <c r="G98" s="35">
        <f t="shared" si="62"/>
        <v>417384.01129989995</v>
      </c>
      <c r="H98" s="35">
        <f t="shared" si="62"/>
        <v>369981</v>
      </c>
      <c r="I98" s="35">
        <f t="shared" si="62"/>
        <v>19199</v>
      </c>
      <c r="J98" s="35">
        <f t="shared" si="62"/>
        <v>650285</v>
      </c>
      <c r="K98" s="35">
        <f t="shared" si="62"/>
        <v>39000</v>
      </c>
      <c r="L98" s="35">
        <f t="shared" si="62"/>
        <v>33002</v>
      </c>
      <c r="M98" s="224">
        <f t="shared" si="63"/>
        <v>1111467</v>
      </c>
      <c r="N98" s="36">
        <f t="shared" si="64"/>
        <v>89.167762253298122</v>
      </c>
      <c r="O98" s="36">
        <f t="shared" si="65"/>
        <v>52.169302621567681</v>
      </c>
      <c r="P98" s="36">
        <f t="shared" si="66"/>
        <v>31.222078310681795</v>
      </c>
      <c r="Q98" s="36">
        <f t="shared" si="67"/>
        <v>5.7763813210486417</v>
      </c>
    </row>
    <row r="99" spans="1:17" x14ac:dyDescent="0.2">
      <c r="A99" s="369"/>
      <c r="B99" s="33">
        <v>5</v>
      </c>
      <c r="C99" s="34">
        <v>44317</v>
      </c>
      <c r="D99" s="34">
        <v>44347</v>
      </c>
      <c r="E99" s="33">
        <f t="shared" si="61"/>
        <v>33.529800000000002</v>
      </c>
      <c r="F99" s="224">
        <f t="shared" si="62"/>
        <v>5803.1814555960027</v>
      </c>
      <c r="G99" s="35">
        <f t="shared" si="62"/>
        <v>194456.76415639999</v>
      </c>
      <c r="H99" s="35">
        <f t="shared" si="62"/>
        <v>369981</v>
      </c>
      <c r="I99" s="35">
        <f t="shared" si="62"/>
        <v>8945</v>
      </c>
      <c r="J99" s="35">
        <f t="shared" si="62"/>
        <v>302965</v>
      </c>
      <c r="K99" s="35">
        <f t="shared" si="62"/>
        <v>18171</v>
      </c>
      <c r="L99" s="35">
        <f t="shared" si="62"/>
        <v>15373</v>
      </c>
      <c r="M99" s="224">
        <f t="shared" si="63"/>
        <v>715435</v>
      </c>
      <c r="N99" s="36">
        <f t="shared" si="64"/>
        <v>123.28323790566753</v>
      </c>
      <c r="O99" s="36">
        <f t="shared" si="65"/>
        <v>52.206708047678077</v>
      </c>
      <c r="P99" s="36">
        <f t="shared" si="66"/>
        <v>65.29625221947903</v>
      </c>
      <c r="Q99" s="36">
        <f t="shared" si="67"/>
        <v>5.7802776385104329</v>
      </c>
    </row>
    <row r="100" spans="1:17" x14ac:dyDescent="0.2">
      <c r="A100" s="369"/>
      <c r="B100" s="33">
        <v>6</v>
      </c>
      <c r="C100" s="34">
        <v>44348</v>
      </c>
      <c r="D100" s="34">
        <v>44377</v>
      </c>
      <c r="E100" s="33">
        <f t="shared" si="61"/>
        <v>33.463000000000001</v>
      </c>
      <c r="F100" s="224">
        <f t="shared" si="62"/>
        <v>958.649</v>
      </c>
      <c r="G100" s="35">
        <f t="shared" si="62"/>
        <v>32079.271486999998</v>
      </c>
      <c r="H100" s="35">
        <f t="shared" si="62"/>
        <v>369981</v>
      </c>
      <c r="I100" s="35">
        <f t="shared" si="62"/>
        <v>1476</v>
      </c>
      <c r="J100" s="35">
        <f t="shared" si="62"/>
        <v>49979</v>
      </c>
      <c r="K100" s="35">
        <f t="shared" si="62"/>
        <v>2997</v>
      </c>
      <c r="L100" s="35">
        <f t="shared" si="62"/>
        <v>2535</v>
      </c>
      <c r="M100" s="224">
        <f t="shared" si="63"/>
        <v>426968</v>
      </c>
      <c r="N100" s="36">
        <f t="shared" ref="N100:N106" si="68">+M100/F100</f>
        <v>445.38512010130921</v>
      </c>
      <c r="O100" s="36">
        <f t="shared" ref="O100:O106" si="69">+J100/F100</f>
        <v>52.134827241253056</v>
      </c>
      <c r="P100" s="36">
        <f t="shared" ref="P100:P106" si="70">+(H100+I100)/F100</f>
        <v>387.47967191328632</v>
      </c>
      <c r="Q100" s="36">
        <f t="shared" si="67"/>
        <v>5.7706209467698812</v>
      </c>
    </row>
    <row r="101" spans="1:17" x14ac:dyDescent="0.2">
      <c r="A101" s="369"/>
      <c r="B101" s="33">
        <v>7</v>
      </c>
      <c r="C101" s="34">
        <v>44378</v>
      </c>
      <c r="D101" s="34">
        <v>44408</v>
      </c>
      <c r="E101" s="33">
        <f t="shared" si="61"/>
        <v>33.479999999999997</v>
      </c>
      <c r="F101" s="224">
        <f t="shared" si="62"/>
        <v>388.92399999999998</v>
      </c>
      <c r="G101" s="35">
        <f t="shared" si="62"/>
        <v>13021.175519999999</v>
      </c>
      <c r="H101" s="35">
        <f t="shared" si="62"/>
        <v>369981</v>
      </c>
      <c r="I101" s="35">
        <f t="shared" si="62"/>
        <v>599</v>
      </c>
      <c r="J101" s="35">
        <f t="shared" si="62"/>
        <v>20286</v>
      </c>
      <c r="K101" s="35">
        <f t="shared" si="62"/>
        <v>1216</v>
      </c>
      <c r="L101" s="35">
        <f t="shared" si="62"/>
        <v>1031</v>
      </c>
      <c r="M101" s="224">
        <f t="shared" si="63"/>
        <v>393113</v>
      </c>
      <c r="N101" s="36">
        <f t="shared" si="68"/>
        <v>1010.7707418415938</v>
      </c>
      <c r="O101" s="36">
        <f t="shared" si="69"/>
        <v>52.15929076117699</v>
      </c>
      <c r="P101" s="36">
        <f t="shared" si="70"/>
        <v>952.83397270417879</v>
      </c>
      <c r="Q101" s="36">
        <f t="shared" si="67"/>
        <v>5.7774783762380313</v>
      </c>
    </row>
    <row r="102" spans="1:17" x14ac:dyDescent="0.2">
      <c r="A102" s="369"/>
      <c r="B102" s="33">
        <v>8</v>
      </c>
      <c r="C102" s="34">
        <v>44409</v>
      </c>
      <c r="D102" s="34">
        <v>44439</v>
      </c>
      <c r="E102" s="33">
        <f t="shared" si="61"/>
        <v>33.36</v>
      </c>
      <c r="F102" s="224">
        <f t="shared" si="62"/>
        <v>388.52499999999998</v>
      </c>
      <c r="G102" s="35">
        <f t="shared" si="62"/>
        <v>12961.193999999998</v>
      </c>
      <c r="H102" s="35">
        <f t="shared" si="62"/>
        <v>369981</v>
      </c>
      <c r="I102" s="35">
        <f t="shared" si="62"/>
        <v>596</v>
      </c>
      <c r="J102" s="35">
        <f t="shared" si="62"/>
        <v>20192</v>
      </c>
      <c r="K102" s="35">
        <f t="shared" si="62"/>
        <v>1211</v>
      </c>
      <c r="L102" s="35">
        <f t="shared" si="62"/>
        <v>1026</v>
      </c>
      <c r="M102" s="224">
        <f t="shared" si="63"/>
        <v>393006</v>
      </c>
      <c r="N102" s="36">
        <f t="shared" si="68"/>
        <v>1011.5333633614312</v>
      </c>
      <c r="O102" s="36">
        <f t="shared" si="69"/>
        <v>51.970915642494049</v>
      </c>
      <c r="P102" s="36">
        <f t="shared" si="70"/>
        <v>953.80477446753753</v>
      </c>
      <c r="Q102" s="36">
        <f t="shared" si="67"/>
        <v>5.7576732513995239</v>
      </c>
    </row>
    <row r="103" spans="1:17" x14ac:dyDescent="0.2">
      <c r="A103" s="369"/>
      <c r="B103" s="33">
        <v>9</v>
      </c>
      <c r="C103" s="34">
        <v>44440</v>
      </c>
      <c r="D103" s="34">
        <v>44469</v>
      </c>
      <c r="E103" s="33">
        <f t="shared" si="61"/>
        <v>33.352165999999997</v>
      </c>
      <c r="F103" s="224">
        <f t="shared" si="62"/>
        <v>847.16700000000003</v>
      </c>
      <c r="G103" s="35">
        <f t="shared" si="62"/>
        <v>28254.854413721998</v>
      </c>
      <c r="H103" s="35">
        <f t="shared" si="62"/>
        <v>369981</v>
      </c>
      <c r="I103" s="35">
        <f t="shared" si="62"/>
        <v>1300</v>
      </c>
      <c r="J103" s="35">
        <f t="shared" si="62"/>
        <v>44021</v>
      </c>
      <c r="K103" s="35">
        <f t="shared" si="62"/>
        <v>2640</v>
      </c>
      <c r="L103" s="35">
        <f t="shared" si="62"/>
        <v>2234</v>
      </c>
      <c r="M103" s="224">
        <f t="shared" si="63"/>
        <v>420176</v>
      </c>
      <c r="N103" s="36">
        <f t="shared" si="68"/>
        <v>495.97777061665528</v>
      </c>
      <c r="O103" s="36">
        <f t="shared" si="69"/>
        <v>51.962600054062541</v>
      </c>
      <c r="P103" s="36">
        <f t="shared" si="70"/>
        <v>438.26187752827951</v>
      </c>
      <c r="Q103" s="36">
        <f t="shared" si="67"/>
        <v>5.7532930343131872</v>
      </c>
    </row>
    <row r="104" spans="1:17" x14ac:dyDescent="0.2">
      <c r="A104" s="369"/>
      <c r="B104" s="33">
        <v>10</v>
      </c>
      <c r="C104" s="34">
        <v>44470</v>
      </c>
      <c r="D104" s="34">
        <v>44500</v>
      </c>
      <c r="E104" s="33">
        <f t="shared" si="61"/>
        <v>33.674999999999997</v>
      </c>
      <c r="F104" s="224">
        <f t="shared" si="62"/>
        <v>12878</v>
      </c>
      <c r="G104" s="35">
        <f t="shared" si="62"/>
        <v>434276.54700000002</v>
      </c>
      <c r="H104" s="35">
        <f t="shared" si="62"/>
        <v>410826</v>
      </c>
      <c r="I104" s="35">
        <f t="shared" si="62"/>
        <v>26347</v>
      </c>
      <c r="J104" s="35">
        <f t="shared" si="62"/>
        <v>2139250</v>
      </c>
      <c r="K104" s="35">
        <f t="shared" si="62"/>
        <v>65603</v>
      </c>
      <c r="L104" s="35">
        <f t="shared" si="62"/>
        <v>34346</v>
      </c>
      <c r="M104" s="224">
        <f t="shared" si="63"/>
        <v>2676372</v>
      </c>
      <c r="N104" s="36">
        <f t="shared" si="68"/>
        <v>207.82512812548532</v>
      </c>
      <c r="O104" s="36">
        <f t="shared" si="69"/>
        <v>166.1166330175493</v>
      </c>
      <c r="P104" s="36">
        <f t="shared" si="70"/>
        <v>33.947274421494022</v>
      </c>
      <c r="Q104" s="36">
        <f t="shared" si="67"/>
        <v>7.7612206864419937</v>
      </c>
    </row>
    <row r="105" spans="1:17" x14ac:dyDescent="0.2">
      <c r="A105" s="369"/>
      <c r="B105" s="33">
        <v>11</v>
      </c>
      <c r="C105" s="34">
        <v>44501</v>
      </c>
      <c r="D105" s="34">
        <v>44530</v>
      </c>
      <c r="E105" s="33">
        <f t="shared" si="61"/>
        <v>33.653199999999998</v>
      </c>
      <c r="F105" s="224">
        <f t="shared" si="62"/>
        <v>27857</v>
      </c>
      <c r="G105" s="35">
        <f t="shared" si="62"/>
        <v>939593.84100000001</v>
      </c>
      <c r="H105" s="35">
        <f t="shared" si="62"/>
        <v>397573</v>
      </c>
      <c r="I105" s="35">
        <f t="shared" si="62"/>
        <v>56999</v>
      </c>
      <c r="J105" s="35">
        <f t="shared" si="62"/>
        <v>4628126</v>
      </c>
      <c r="K105" s="35">
        <f t="shared" si="62"/>
        <v>137912</v>
      </c>
      <c r="L105" s="35">
        <f t="shared" si="62"/>
        <v>74304</v>
      </c>
      <c r="M105" s="224">
        <f t="shared" si="63"/>
        <v>5294914</v>
      </c>
      <c r="N105" s="36">
        <f t="shared" si="68"/>
        <v>190.07481064005455</v>
      </c>
      <c r="O105" s="36">
        <f t="shared" si="69"/>
        <v>166.13870840363285</v>
      </c>
      <c r="P105" s="36">
        <f t="shared" si="70"/>
        <v>16.318052913091861</v>
      </c>
      <c r="Q105" s="36">
        <f t="shared" si="67"/>
        <v>7.6180493233298634</v>
      </c>
    </row>
    <row r="106" spans="1:17" ht="15" thickBot="1" x14ac:dyDescent="0.25">
      <c r="A106" s="369"/>
      <c r="B106" s="33">
        <v>12</v>
      </c>
      <c r="C106" s="34">
        <v>44531</v>
      </c>
      <c r="D106" s="34">
        <v>44561</v>
      </c>
      <c r="E106" s="33">
        <f t="shared" si="61"/>
        <v>34.073300000000003</v>
      </c>
      <c r="F106" s="224">
        <f t="shared" si="62"/>
        <v>31173.758723711475</v>
      </c>
      <c r="G106" s="35">
        <f t="shared" si="62"/>
        <v>1062142.8435</v>
      </c>
      <c r="H106" s="35">
        <f t="shared" si="62"/>
        <v>414933</v>
      </c>
      <c r="I106" s="35">
        <f t="shared" si="62"/>
        <v>64440</v>
      </c>
      <c r="J106" s="35">
        <f t="shared" si="62"/>
        <v>5232337</v>
      </c>
      <c r="K106" s="35">
        <f t="shared" si="62"/>
        <v>152242</v>
      </c>
      <c r="L106" s="35">
        <f t="shared" si="62"/>
        <v>84004</v>
      </c>
      <c r="M106" s="224">
        <f t="shared" si="63"/>
        <v>5947956</v>
      </c>
      <c r="N106" s="36">
        <f t="shared" si="68"/>
        <v>190.80009095842038</v>
      </c>
      <c r="O106" s="36">
        <f t="shared" si="69"/>
        <v>167.84427718112045</v>
      </c>
      <c r="P106" s="36">
        <f t="shared" si="70"/>
        <v>15.377452691817298</v>
      </c>
      <c r="Q106" s="36">
        <f t="shared" si="67"/>
        <v>7.5783610854826398</v>
      </c>
    </row>
    <row r="107" spans="1:17" ht="16.5" thickTop="1" thickBot="1" x14ac:dyDescent="0.25">
      <c r="A107" s="361" t="s">
        <v>336</v>
      </c>
      <c r="B107" s="362"/>
      <c r="C107" s="362"/>
      <c r="D107" s="363"/>
      <c r="E107" s="49">
        <f>+G107/F107</f>
        <v>33.839953939451625</v>
      </c>
      <c r="F107" s="40">
        <f t="shared" ref="F107:M107" si="71">SUM(F95:F106)</f>
        <v>172953.0307107878</v>
      </c>
      <c r="G107" s="40">
        <f t="shared" si="71"/>
        <v>5852722.5929416213</v>
      </c>
      <c r="H107" s="40">
        <f t="shared" si="71"/>
        <v>4553161</v>
      </c>
      <c r="I107" s="40">
        <f t="shared" si="71"/>
        <v>304953</v>
      </c>
      <c r="J107" s="40">
        <f t="shared" si="71"/>
        <v>17322671</v>
      </c>
      <c r="K107" s="40">
        <f t="shared" si="71"/>
        <v>675040</v>
      </c>
      <c r="L107" s="40">
        <f t="shared" si="71"/>
        <v>462828</v>
      </c>
      <c r="M107" s="40">
        <f t="shared" si="71"/>
        <v>23318653</v>
      </c>
      <c r="N107" s="41">
        <f t="shared" si="64"/>
        <v>134.82650696646922</v>
      </c>
      <c r="O107" s="41">
        <f t="shared" si="65"/>
        <v>100.15823908265004</v>
      </c>
      <c r="P107" s="41">
        <f t="shared" si="66"/>
        <v>28.089210001319618</v>
      </c>
      <c r="Q107" s="41">
        <f t="shared" si="67"/>
        <v>6.5790578824995771</v>
      </c>
    </row>
    <row r="108" spans="1:17" ht="15" thickTop="1" x14ac:dyDescent="0.2"/>
  </sheetData>
  <mergeCells count="79">
    <mergeCell ref="H93:M93"/>
    <mergeCell ref="N93:Q93"/>
    <mergeCell ref="A95:A106"/>
    <mergeCell ref="A107:D107"/>
    <mergeCell ref="A93:A94"/>
    <mergeCell ref="B93:B94"/>
    <mergeCell ref="C93:D93"/>
    <mergeCell ref="E93:E94"/>
    <mergeCell ref="F93:G93"/>
    <mergeCell ref="H87:M87"/>
    <mergeCell ref="N87:Q87"/>
    <mergeCell ref="A90:D90"/>
    <mergeCell ref="A87:A88"/>
    <mergeCell ref="B87:B88"/>
    <mergeCell ref="C87:D87"/>
    <mergeCell ref="E87:E88"/>
    <mergeCell ref="F87:G87"/>
    <mergeCell ref="H70:M70"/>
    <mergeCell ref="N70:Q70"/>
    <mergeCell ref="A72:A83"/>
    <mergeCell ref="A84:D84"/>
    <mergeCell ref="B85:D85"/>
    <mergeCell ref="I85:J85"/>
    <mergeCell ref="K85:N85"/>
    <mergeCell ref="A70:A71"/>
    <mergeCell ref="B70:B71"/>
    <mergeCell ref="C70:D70"/>
    <mergeCell ref="E70:E71"/>
    <mergeCell ref="F70:G70"/>
    <mergeCell ref="A55:A66"/>
    <mergeCell ref="A67:D67"/>
    <mergeCell ref="B68:D68"/>
    <mergeCell ref="I68:J68"/>
    <mergeCell ref="K68:N68"/>
    <mergeCell ref="A50:D50"/>
    <mergeCell ref="B51:D51"/>
    <mergeCell ref="I51:J51"/>
    <mergeCell ref="K51:N51"/>
    <mergeCell ref="A53:A54"/>
    <mergeCell ref="B53:B54"/>
    <mergeCell ref="C53:D53"/>
    <mergeCell ref="E53:E54"/>
    <mergeCell ref="F53:G53"/>
    <mergeCell ref="H53:M53"/>
    <mergeCell ref="N53:Q53"/>
    <mergeCell ref="I17:J17"/>
    <mergeCell ref="K17:N17"/>
    <mergeCell ref="A21:A32"/>
    <mergeCell ref="B34:D34"/>
    <mergeCell ref="I34:J34"/>
    <mergeCell ref="K34:N34"/>
    <mergeCell ref="E19:E20"/>
    <mergeCell ref="F19:G19"/>
    <mergeCell ref="H19:M19"/>
    <mergeCell ref="N19:Q19"/>
    <mergeCell ref="A33:D33"/>
    <mergeCell ref="A1:O1"/>
    <mergeCell ref="P1:Q1"/>
    <mergeCell ref="A2:A3"/>
    <mergeCell ref="B2:B3"/>
    <mergeCell ref="C2:D2"/>
    <mergeCell ref="E2:E3"/>
    <mergeCell ref="F2:G2"/>
    <mergeCell ref="H2:M2"/>
    <mergeCell ref="N2:Q2"/>
    <mergeCell ref="A4:A15"/>
    <mergeCell ref="A16:D16"/>
    <mergeCell ref="A19:A20"/>
    <mergeCell ref="B19:B20"/>
    <mergeCell ref="C19:D19"/>
    <mergeCell ref="B17:D17"/>
    <mergeCell ref="H36:M36"/>
    <mergeCell ref="N36:Q36"/>
    <mergeCell ref="A38:A49"/>
    <mergeCell ref="A36:A37"/>
    <mergeCell ref="B36:B37"/>
    <mergeCell ref="C36:D36"/>
    <mergeCell ref="E36:E37"/>
    <mergeCell ref="F36:G36"/>
  </mergeCells>
  <pageMargins left="0.31496062992125984" right="0.31496062992125984" top="0.35433070866141736" bottom="0.35433070866141736" header="0.31496062992125984" footer="0.31496062992125984"/>
  <pageSetup paperSize="9" scale="69" fitToHeight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29" workbookViewId="0">
      <selection activeCell="Q40" sqref="Q40"/>
    </sheetView>
  </sheetViews>
  <sheetFormatPr defaultRowHeight="15" x14ac:dyDescent="0.25"/>
  <cols>
    <col min="2" max="2" width="6.42578125" customWidth="1"/>
    <col min="3" max="3" width="11.85546875" customWidth="1"/>
    <col min="4" max="4" width="13" customWidth="1"/>
    <col min="5" max="5" width="12.140625" customWidth="1"/>
    <col min="6" max="6" width="11" customWidth="1"/>
    <col min="7" max="9" width="10.140625" customWidth="1"/>
    <col min="10" max="10" width="11.5703125" customWidth="1"/>
    <col min="11" max="11" width="11.42578125" customWidth="1"/>
    <col min="12" max="12" width="13" customWidth="1"/>
    <col min="13" max="13" width="13.85546875" customWidth="1"/>
    <col min="14" max="14" width="14.28515625" customWidth="1"/>
    <col min="15" max="15" width="13" customWidth="1"/>
    <col min="16" max="16" width="11.42578125" customWidth="1"/>
    <col min="17" max="17" width="12.85546875" customWidth="1"/>
    <col min="18" max="18" width="12.7109375" customWidth="1"/>
    <col min="19" max="19" width="12.28515625" customWidth="1"/>
    <col min="20" max="20" width="10.42578125" customWidth="1"/>
    <col min="21" max="21" width="10.5703125" customWidth="1"/>
    <col min="22" max="22" width="9" customWidth="1"/>
    <col min="23" max="23" width="10.85546875" customWidth="1"/>
  </cols>
  <sheetData>
    <row r="1" spans="1:23" ht="36" customHeight="1" thickBot="1" x14ac:dyDescent="0.3">
      <c r="A1" s="356" t="s">
        <v>269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129"/>
      <c r="U1" s="129"/>
      <c r="V1" s="356" t="s">
        <v>283</v>
      </c>
      <c r="W1" s="356"/>
    </row>
    <row r="2" spans="1:23" ht="21" customHeight="1" thickTop="1" thickBot="1" x14ac:dyDescent="0.3">
      <c r="A2" s="364" t="s">
        <v>64</v>
      </c>
      <c r="B2" s="366" t="s">
        <v>0</v>
      </c>
      <c r="C2" s="360" t="s">
        <v>5</v>
      </c>
      <c r="D2" s="360"/>
      <c r="E2" s="360" t="s">
        <v>65</v>
      </c>
      <c r="F2" s="357" t="s">
        <v>2</v>
      </c>
      <c r="G2" s="358"/>
      <c r="H2" s="358"/>
      <c r="I2" s="358"/>
      <c r="J2" s="359"/>
      <c r="K2" s="357" t="s">
        <v>13</v>
      </c>
      <c r="L2" s="358"/>
      <c r="M2" s="358"/>
      <c r="N2" s="358"/>
      <c r="O2" s="358"/>
      <c r="P2" s="358"/>
      <c r="Q2" s="358"/>
      <c r="R2" s="357" t="s">
        <v>66</v>
      </c>
      <c r="S2" s="358"/>
      <c r="T2" s="358"/>
      <c r="U2" s="358"/>
      <c r="V2" s="358"/>
      <c r="W2" s="359"/>
    </row>
    <row r="3" spans="1:23" ht="31.5" thickTop="1" thickBot="1" x14ac:dyDescent="0.3">
      <c r="A3" s="365"/>
      <c r="B3" s="367"/>
      <c r="C3" s="131" t="s">
        <v>3</v>
      </c>
      <c r="D3" s="131" t="s">
        <v>4</v>
      </c>
      <c r="E3" s="360"/>
      <c r="F3" s="131" t="s">
        <v>67</v>
      </c>
      <c r="G3" s="131" t="s">
        <v>1</v>
      </c>
      <c r="H3" s="131" t="s">
        <v>277</v>
      </c>
      <c r="I3" s="131" t="s">
        <v>278</v>
      </c>
      <c r="J3" s="131" t="s">
        <v>279</v>
      </c>
      <c r="K3" s="131" t="s">
        <v>271</v>
      </c>
      <c r="L3" s="131" t="s">
        <v>272</v>
      </c>
      <c r="M3" s="131" t="s">
        <v>273</v>
      </c>
      <c r="N3" s="130" t="s">
        <v>274</v>
      </c>
      <c r="O3" s="130" t="s">
        <v>379</v>
      </c>
      <c r="P3" s="130" t="s">
        <v>26</v>
      </c>
      <c r="Q3" s="130" t="s">
        <v>275</v>
      </c>
      <c r="R3" s="132" t="s">
        <v>6</v>
      </c>
      <c r="S3" s="132" t="s">
        <v>21</v>
      </c>
      <c r="T3" s="132" t="s">
        <v>280</v>
      </c>
      <c r="U3" s="132" t="s">
        <v>281</v>
      </c>
      <c r="V3" s="132" t="s">
        <v>20</v>
      </c>
      <c r="W3" s="132" t="s">
        <v>27</v>
      </c>
    </row>
    <row r="4" spans="1:23" ht="15.75" customHeight="1" thickTop="1" x14ac:dyDescent="0.25">
      <c r="A4" s="368" t="s">
        <v>282</v>
      </c>
      <c r="B4" s="342" t="s">
        <v>409</v>
      </c>
      <c r="C4" s="343">
        <v>44197</v>
      </c>
      <c r="D4" s="343">
        <v>44308</v>
      </c>
      <c r="E4" s="342">
        <v>33.67</v>
      </c>
      <c r="F4" s="147">
        <v>5508.26</v>
      </c>
      <c r="G4" s="35">
        <f t="shared" ref="G4:G7" si="0">+F4*E4</f>
        <v>185463.11420000001</v>
      </c>
      <c r="H4" s="35">
        <f>21325+199</f>
        <v>21524</v>
      </c>
      <c r="I4" s="35">
        <f>164138-199</f>
        <v>163939</v>
      </c>
      <c r="J4" s="35">
        <f t="shared" ref="J4:J7" si="1">+I4+H4</f>
        <v>185463</v>
      </c>
      <c r="K4" s="35">
        <f>4*1026</f>
        <v>4104</v>
      </c>
      <c r="L4" s="35">
        <f>64167+599</f>
        <v>64766</v>
      </c>
      <c r="M4" s="35">
        <f>554130-672</f>
        <v>553458</v>
      </c>
      <c r="N4" s="35">
        <f t="shared" ref="N4:N14" si="2">+M4+L4</f>
        <v>618224</v>
      </c>
      <c r="O4" s="35">
        <v>17340</v>
      </c>
      <c r="P4" s="35">
        <v>14672</v>
      </c>
      <c r="Q4" s="147">
        <f t="shared" ref="Q4:Q14" si="3">+P4+O4+N4+K4</f>
        <v>654340</v>
      </c>
      <c r="R4" s="36">
        <f t="shared" ref="R4:R15" si="4">+Q4/F4</f>
        <v>118.79250434801553</v>
      </c>
      <c r="S4" s="36">
        <f t="shared" ref="S4:S15" si="5">+N4/F4</f>
        <v>112.23580586246837</v>
      </c>
      <c r="T4" s="174">
        <f t="shared" ref="T4:T15" si="6">+L4/H4</f>
        <v>3.0090131945734995</v>
      </c>
      <c r="U4" s="174">
        <f t="shared" ref="U4:U15" si="7">+M4/I4</f>
        <v>3.3759996096108917</v>
      </c>
      <c r="V4" s="36">
        <f t="shared" ref="V4:V15" si="8">+K4/F4</f>
        <v>0.74506286921822862</v>
      </c>
      <c r="W4" s="36">
        <f t="shared" ref="W4:W15" si="9">+(O4+P4)/F4</f>
        <v>5.8116356163289309</v>
      </c>
    </row>
    <row r="5" spans="1:23" x14ac:dyDescent="0.25">
      <c r="A5" s="369"/>
      <c r="B5" s="192" t="s">
        <v>410</v>
      </c>
      <c r="C5" s="162">
        <v>44309</v>
      </c>
      <c r="D5" s="162">
        <v>44336</v>
      </c>
      <c r="E5" s="192">
        <v>33.700000000000003</v>
      </c>
      <c r="F5" s="147">
        <v>389</v>
      </c>
      <c r="G5" s="35">
        <f t="shared" si="0"/>
        <v>13109.300000000001</v>
      </c>
      <c r="H5" s="35">
        <v>1920</v>
      </c>
      <c r="I5" s="35">
        <v>11189</v>
      </c>
      <c r="J5" s="35">
        <f t="shared" si="1"/>
        <v>13109</v>
      </c>
      <c r="K5" s="35">
        <v>1026</v>
      </c>
      <c r="L5" s="35">
        <v>5777</v>
      </c>
      <c r="M5" s="35">
        <v>37774</v>
      </c>
      <c r="N5" s="35">
        <f t="shared" si="2"/>
        <v>43551</v>
      </c>
      <c r="O5" s="35">
        <v>1226</v>
      </c>
      <c r="P5" s="35">
        <v>1037</v>
      </c>
      <c r="Q5" s="147">
        <f t="shared" si="3"/>
        <v>46840</v>
      </c>
      <c r="R5" s="36">
        <f t="shared" si="4"/>
        <v>120.41131105398458</v>
      </c>
      <c r="S5" s="36">
        <f t="shared" si="5"/>
        <v>111.95629820051414</v>
      </c>
      <c r="T5" s="174">
        <f t="shared" si="6"/>
        <v>3.0088541666666666</v>
      </c>
      <c r="U5" s="174">
        <f t="shared" si="7"/>
        <v>3.3759942800965232</v>
      </c>
      <c r="V5" s="36">
        <f t="shared" si="8"/>
        <v>2.6375321336760926</v>
      </c>
      <c r="W5" s="36">
        <f t="shared" si="9"/>
        <v>5.8174807197943448</v>
      </c>
    </row>
    <row r="6" spans="1:23" x14ac:dyDescent="0.25">
      <c r="A6" s="369"/>
      <c r="B6" s="192" t="s">
        <v>410</v>
      </c>
      <c r="C6" s="162">
        <v>44337</v>
      </c>
      <c r="D6" s="162">
        <v>44367</v>
      </c>
      <c r="E6" s="192">
        <v>33.700000000000003</v>
      </c>
      <c r="F6" s="147">
        <v>97</v>
      </c>
      <c r="G6" s="35">
        <f t="shared" si="0"/>
        <v>3268.9</v>
      </c>
      <c r="H6" s="35">
        <v>382</v>
      </c>
      <c r="I6" s="35">
        <v>2887</v>
      </c>
      <c r="J6" s="35">
        <f t="shared" si="1"/>
        <v>3269</v>
      </c>
      <c r="K6" s="35">
        <v>1026</v>
      </c>
      <c r="L6" s="35">
        <v>1149</v>
      </c>
      <c r="M6" s="35">
        <v>9747</v>
      </c>
      <c r="N6" s="35">
        <f t="shared" si="2"/>
        <v>10896</v>
      </c>
      <c r="O6" s="35">
        <v>306</v>
      </c>
      <c r="P6" s="35">
        <v>259</v>
      </c>
      <c r="Q6" s="147">
        <f t="shared" si="3"/>
        <v>12487</v>
      </c>
      <c r="R6" s="36">
        <f t="shared" si="4"/>
        <v>128.73195876288659</v>
      </c>
      <c r="S6" s="36">
        <f t="shared" si="5"/>
        <v>112.32989690721649</v>
      </c>
      <c r="T6" s="174">
        <f t="shared" si="6"/>
        <v>3.0078534031413611</v>
      </c>
      <c r="U6" s="174">
        <f t="shared" si="7"/>
        <v>3.3761690335988916</v>
      </c>
      <c r="V6" s="36">
        <f t="shared" si="8"/>
        <v>10.577319587628866</v>
      </c>
      <c r="W6" s="36">
        <f t="shared" si="9"/>
        <v>5.8247422680412368</v>
      </c>
    </row>
    <row r="7" spans="1:23" x14ac:dyDescent="0.25">
      <c r="A7" s="369"/>
      <c r="B7" s="192" t="s">
        <v>410</v>
      </c>
      <c r="C7" s="162">
        <v>44368</v>
      </c>
      <c r="D7" s="162">
        <v>44397</v>
      </c>
      <c r="E7" s="192">
        <v>33.700000000000003</v>
      </c>
      <c r="F7" s="147">
        <v>94</v>
      </c>
      <c r="G7" s="35">
        <f t="shared" si="0"/>
        <v>3167.8</v>
      </c>
      <c r="H7" s="35">
        <v>362</v>
      </c>
      <c r="I7" s="35">
        <v>2806</v>
      </c>
      <c r="J7" s="35">
        <f t="shared" si="1"/>
        <v>3168</v>
      </c>
      <c r="K7" s="35">
        <v>1026</v>
      </c>
      <c r="L7" s="35">
        <v>1089</v>
      </c>
      <c r="M7" s="35">
        <v>9473</v>
      </c>
      <c r="N7" s="35">
        <f t="shared" si="2"/>
        <v>10562</v>
      </c>
      <c r="O7" s="35">
        <v>296</v>
      </c>
      <c r="P7" s="35">
        <v>251</v>
      </c>
      <c r="Q7" s="147">
        <f t="shared" si="3"/>
        <v>12135</v>
      </c>
      <c r="R7" s="36">
        <f t="shared" si="4"/>
        <v>129.09574468085106</v>
      </c>
      <c r="S7" s="36">
        <f t="shared" si="5"/>
        <v>112.36170212765957</v>
      </c>
      <c r="T7" s="174">
        <f t="shared" si="6"/>
        <v>3.0082872928176796</v>
      </c>
      <c r="U7" s="174">
        <f t="shared" si="7"/>
        <v>3.3759800427655025</v>
      </c>
      <c r="V7" s="36">
        <f t="shared" si="8"/>
        <v>10.914893617021276</v>
      </c>
      <c r="W7" s="36">
        <f t="shared" si="9"/>
        <v>5.8191489361702127</v>
      </c>
    </row>
    <row r="8" spans="1:23" x14ac:dyDescent="0.25">
      <c r="A8" s="369"/>
      <c r="B8" s="192" t="s">
        <v>410</v>
      </c>
      <c r="C8" s="34">
        <v>44398</v>
      </c>
      <c r="D8" s="34">
        <v>44428</v>
      </c>
      <c r="E8" s="33">
        <v>33.700000000000003</v>
      </c>
      <c r="F8" s="147">
        <v>97</v>
      </c>
      <c r="G8" s="35">
        <f t="shared" ref="G8:G14" si="10">+F8*E8</f>
        <v>3268.9</v>
      </c>
      <c r="H8" s="35">
        <v>374</v>
      </c>
      <c r="I8" s="35">
        <v>2895</v>
      </c>
      <c r="J8" s="35">
        <f t="shared" ref="J8:J14" si="11">+I8+H8</f>
        <v>3269</v>
      </c>
      <c r="K8" s="35">
        <v>1026</v>
      </c>
      <c r="L8" s="35">
        <v>1125</v>
      </c>
      <c r="M8" s="35">
        <v>9774</v>
      </c>
      <c r="N8" s="35">
        <f t="shared" si="2"/>
        <v>10899</v>
      </c>
      <c r="O8" s="35">
        <v>306</v>
      </c>
      <c r="P8" s="35">
        <v>259</v>
      </c>
      <c r="Q8" s="147">
        <f t="shared" si="3"/>
        <v>12490</v>
      </c>
      <c r="R8" s="36">
        <f t="shared" si="4"/>
        <v>128.76288659793815</v>
      </c>
      <c r="S8" s="36">
        <f t="shared" si="5"/>
        <v>112.36082474226804</v>
      </c>
      <c r="T8" s="174">
        <f t="shared" si="6"/>
        <v>3.0080213903743314</v>
      </c>
      <c r="U8" s="174">
        <f t="shared" si="7"/>
        <v>3.3761658031088082</v>
      </c>
      <c r="V8" s="36">
        <f t="shared" si="8"/>
        <v>10.577319587628866</v>
      </c>
      <c r="W8" s="36">
        <f t="shared" si="9"/>
        <v>5.8247422680412368</v>
      </c>
    </row>
    <row r="9" spans="1:23" x14ac:dyDescent="0.25">
      <c r="A9" s="369"/>
      <c r="B9" s="192" t="s">
        <v>410</v>
      </c>
      <c r="C9" s="34">
        <v>44429</v>
      </c>
      <c r="D9" s="34">
        <v>44459</v>
      </c>
      <c r="E9" s="33">
        <v>33.700000000000003</v>
      </c>
      <c r="F9" s="147">
        <v>117</v>
      </c>
      <c r="G9" s="35">
        <f t="shared" si="10"/>
        <v>3942.9000000000005</v>
      </c>
      <c r="H9" s="35">
        <v>449</v>
      </c>
      <c r="I9" s="35">
        <v>3494</v>
      </c>
      <c r="J9" s="35">
        <f t="shared" si="11"/>
        <v>3943</v>
      </c>
      <c r="K9" s="35">
        <v>1026</v>
      </c>
      <c r="L9" s="35">
        <v>1351</v>
      </c>
      <c r="M9" s="35">
        <v>11796</v>
      </c>
      <c r="N9" s="35">
        <f t="shared" si="2"/>
        <v>13147</v>
      </c>
      <c r="O9" s="35">
        <v>369</v>
      </c>
      <c r="P9" s="35">
        <v>312</v>
      </c>
      <c r="Q9" s="147">
        <f t="shared" si="3"/>
        <v>14854</v>
      </c>
      <c r="R9" s="36">
        <f t="shared" si="4"/>
        <v>126.95726495726495</v>
      </c>
      <c r="S9" s="36">
        <f t="shared" si="5"/>
        <v>112.36752136752136</v>
      </c>
      <c r="T9" s="174">
        <f t="shared" si="6"/>
        <v>3.0089086859688194</v>
      </c>
      <c r="U9" s="174">
        <f t="shared" si="7"/>
        <v>3.3760732684602175</v>
      </c>
      <c r="V9" s="36">
        <f t="shared" si="8"/>
        <v>8.7692307692307701</v>
      </c>
      <c r="W9" s="36">
        <f t="shared" si="9"/>
        <v>5.8205128205128203</v>
      </c>
    </row>
    <row r="10" spans="1:23" x14ac:dyDescent="0.25">
      <c r="A10" s="369"/>
      <c r="B10" s="192" t="s">
        <v>410</v>
      </c>
      <c r="C10" s="34">
        <v>44460</v>
      </c>
      <c r="D10" s="34">
        <v>44489</v>
      </c>
      <c r="E10" s="278">
        <v>33.700000000000003</v>
      </c>
      <c r="F10" s="147">
        <f>212+425</f>
        <v>637</v>
      </c>
      <c r="G10" s="35">
        <f t="shared" si="10"/>
        <v>21466.9</v>
      </c>
      <c r="H10" s="35">
        <v>2713</v>
      </c>
      <c r="I10" s="35">
        <v>18754</v>
      </c>
      <c r="J10" s="35">
        <f t="shared" si="11"/>
        <v>21467</v>
      </c>
      <c r="K10" s="35">
        <v>1026</v>
      </c>
      <c r="L10" s="35">
        <v>8163</v>
      </c>
      <c r="M10" s="35">
        <v>63314</v>
      </c>
      <c r="N10" s="35">
        <f t="shared" si="2"/>
        <v>71477</v>
      </c>
      <c r="O10" s="35">
        <f>668+1339</f>
        <v>2007</v>
      </c>
      <c r="P10" s="35">
        <f>565+1133</f>
        <v>1698</v>
      </c>
      <c r="Q10" s="147">
        <f t="shared" si="3"/>
        <v>76208</v>
      </c>
      <c r="R10" s="36">
        <f t="shared" si="4"/>
        <v>119.63579277864991</v>
      </c>
      <c r="S10" s="36">
        <f t="shared" si="5"/>
        <v>112.20879120879121</v>
      </c>
      <c r="T10" s="174">
        <f t="shared" si="6"/>
        <v>3.0088462956137119</v>
      </c>
      <c r="U10" s="174">
        <f t="shared" si="7"/>
        <v>3.3760264476911592</v>
      </c>
      <c r="V10" s="36">
        <f t="shared" si="8"/>
        <v>1.6106750392464677</v>
      </c>
      <c r="W10" s="36">
        <f t="shared" si="9"/>
        <v>5.8163265306122449</v>
      </c>
    </row>
    <row r="11" spans="1:23" x14ac:dyDescent="0.25">
      <c r="A11" s="369"/>
      <c r="B11" s="192" t="s">
        <v>410</v>
      </c>
      <c r="C11" s="34">
        <v>44490</v>
      </c>
      <c r="D11" s="34">
        <v>44520</v>
      </c>
      <c r="E11" s="278">
        <v>33.700000000000003</v>
      </c>
      <c r="F11" s="147">
        <v>1151</v>
      </c>
      <c r="G11" s="35">
        <f t="shared" si="10"/>
        <v>38788.700000000004</v>
      </c>
      <c r="H11" s="35">
        <v>4363</v>
      </c>
      <c r="I11" s="35">
        <v>34426</v>
      </c>
      <c r="J11" s="35">
        <f t="shared" si="11"/>
        <v>38789</v>
      </c>
      <c r="K11" s="35">
        <v>1026</v>
      </c>
      <c r="L11" s="35">
        <v>13128</v>
      </c>
      <c r="M11" s="35">
        <v>116222</v>
      </c>
      <c r="N11" s="35">
        <f t="shared" si="2"/>
        <v>129350</v>
      </c>
      <c r="O11" s="35">
        <v>3627</v>
      </c>
      <c r="P11" s="35">
        <v>3069</v>
      </c>
      <c r="Q11" s="147">
        <f t="shared" ref="Q11" si="12">+P11+O11+N11+K11</f>
        <v>137072</v>
      </c>
      <c r="R11" s="36">
        <f t="shared" ref="R11" si="13">+Q11/F11</f>
        <v>119.08948740225891</v>
      </c>
      <c r="S11" s="36">
        <f t="shared" ref="S11" si="14">+N11/F11</f>
        <v>112.38053866203302</v>
      </c>
      <c r="T11" s="174">
        <f t="shared" ref="T11" si="15">+L11/H11</f>
        <v>3.0089388035755213</v>
      </c>
      <c r="U11" s="174">
        <f t="shared" ref="U11" si="16">+M11/I11</f>
        <v>3.375994887584965</v>
      </c>
      <c r="V11" s="36">
        <f t="shared" ref="V11" si="17">+K11/F11</f>
        <v>0.89139878366637704</v>
      </c>
      <c r="W11" s="36">
        <f t="shared" ref="W11" si="18">+(O11+P11)/F11</f>
        <v>5.8175499565595139</v>
      </c>
    </row>
    <row r="12" spans="1:23" x14ac:dyDescent="0.25">
      <c r="A12" s="369"/>
      <c r="B12" s="192" t="s">
        <v>410</v>
      </c>
      <c r="C12" s="34">
        <v>44521</v>
      </c>
      <c r="D12" s="34">
        <v>44550</v>
      </c>
      <c r="E12" s="278">
        <v>33.700000000000003</v>
      </c>
      <c r="F12" s="147">
        <v>1693</v>
      </c>
      <c r="G12" s="35">
        <f t="shared" si="10"/>
        <v>57054.100000000006</v>
      </c>
      <c r="H12" s="35">
        <v>6415</v>
      </c>
      <c r="I12" s="35">
        <v>50639</v>
      </c>
      <c r="J12" s="35">
        <f t="shared" si="11"/>
        <v>57054</v>
      </c>
      <c r="K12" s="35">
        <v>1026</v>
      </c>
      <c r="L12" s="35">
        <v>19303</v>
      </c>
      <c r="M12" s="35">
        <v>170957</v>
      </c>
      <c r="N12" s="35">
        <f t="shared" si="2"/>
        <v>190260</v>
      </c>
      <c r="O12" s="35">
        <v>5335</v>
      </c>
      <c r="P12" s="35">
        <v>4514</v>
      </c>
      <c r="Q12" s="147">
        <f t="shared" ref="Q12:Q13" si="19">+P12+O12+N12+K12</f>
        <v>201135</v>
      </c>
      <c r="R12" s="36">
        <f t="shared" ref="R12" si="20">+Q12/F12</f>
        <v>118.80389840519787</v>
      </c>
      <c r="S12" s="36">
        <f t="shared" ref="S12" si="21">+N12/F12</f>
        <v>112.38038984051978</v>
      </c>
      <c r="T12" s="174">
        <f t="shared" ref="T12" si="22">+L12/H12</f>
        <v>3.0090413094310211</v>
      </c>
      <c r="U12" s="174">
        <f t="shared" ref="U12" si="23">+M12/I12</f>
        <v>3.375994786626908</v>
      </c>
      <c r="V12" s="36">
        <f t="shared" ref="V12" si="24">+K12/F12</f>
        <v>0.60602480803307734</v>
      </c>
      <c r="W12" s="36">
        <f t="shared" ref="W12" si="25">+(O12+P12)/F12</f>
        <v>5.8174837566450091</v>
      </c>
    </row>
    <row r="13" spans="1:23" x14ac:dyDescent="0.25">
      <c r="A13" s="369"/>
      <c r="B13" s="192" t="s">
        <v>410</v>
      </c>
      <c r="C13" s="34">
        <v>44551</v>
      </c>
      <c r="D13" s="34">
        <v>44561</v>
      </c>
      <c r="E13" s="278">
        <v>33.58</v>
      </c>
      <c r="F13" s="147">
        <v>689</v>
      </c>
      <c r="G13" s="35">
        <f t="shared" si="10"/>
        <v>23136.62</v>
      </c>
      <c r="H13" s="35">
        <v>2533</v>
      </c>
      <c r="I13" s="35">
        <v>20604</v>
      </c>
      <c r="J13" s="35">
        <f t="shared" si="11"/>
        <v>23137</v>
      </c>
      <c r="K13" s="35">
        <v>0</v>
      </c>
      <c r="L13" s="35">
        <v>7622</v>
      </c>
      <c r="M13" s="35">
        <v>69559</v>
      </c>
      <c r="N13" s="35">
        <f t="shared" si="2"/>
        <v>77181</v>
      </c>
      <c r="O13" s="35">
        <v>2163</v>
      </c>
      <c r="P13" s="35">
        <v>1831</v>
      </c>
      <c r="Q13" s="147">
        <f t="shared" si="19"/>
        <v>81175</v>
      </c>
      <c r="R13" s="36">
        <f t="shared" ref="R13" si="26">+Q13/F13</f>
        <v>117.81567489114659</v>
      </c>
      <c r="S13" s="36">
        <f t="shared" ref="S13" si="27">+N13/F13</f>
        <v>112.01886792452831</v>
      </c>
      <c r="T13" s="174">
        <f t="shared" ref="T13" si="28">+L13/H13</f>
        <v>3.0090801421239637</v>
      </c>
      <c r="U13" s="174">
        <f t="shared" ref="U13" si="29">+M13/I13</f>
        <v>3.3759949524364199</v>
      </c>
      <c r="V13" s="36">
        <f t="shared" ref="V13" si="30">+K13/F13</f>
        <v>0</v>
      </c>
      <c r="W13" s="36">
        <f t="shared" ref="W13" si="31">+(O13+P13)/F13</f>
        <v>5.7968069666182878</v>
      </c>
    </row>
    <row r="14" spans="1:23" ht="15.75" thickBot="1" x14ac:dyDescent="0.3">
      <c r="A14" s="369"/>
      <c r="B14" s="192"/>
      <c r="C14" s="34"/>
      <c r="D14" s="34"/>
      <c r="E14" s="33"/>
      <c r="F14" s="147"/>
      <c r="G14" s="35">
        <f t="shared" si="10"/>
        <v>0</v>
      </c>
      <c r="H14" s="35"/>
      <c r="I14" s="35"/>
      <c r="J14" s="35">
        <f t="shared" si="11"/>
        <v>0</v>
      </c>
      <c r="K14" s="35"/>
      <c r="L14" s="35"/>
      <c r="M14" s="35"/>
      <c r="N14" s="35">
        <f t="shared" si="2"/>
        <v>0</v>
      </c>
      <c r="O14" s="35"/>
      <c r="P14" s="35"/>
      <c r="Q14" s="147">
        <f t="shared" si="3"/>
        <v>0</v>
      </c>
      <c r="R14" s="36" t="e">
        <f t="shared" si="4"/>
        <v>#DIV/0!</v>
      </c>
      <c r="S14" s="36" t="e">
        <f t="shared" si="5"/>
        <v>#DIV/0!</v>
      </c>
      <c r="T14" s="174" t="e">
        <f t="shared" si="6"/>
        <v>#DIV/0!</v>
      </c>
      <c r="U14" s="174" t="e">
        <f t="shared" si="7"/>
        <v>#DIV/0!</v>
      </c>
      <c r="V14" s="36" t="e">
        <f t="shared" si="8"/>
        <v>#DIV/0!</v>
      </c>
      <c r="W14" s="36" t="e">
        <f t="shared" si="9"/>
        <v>#DIV/0!</v>
      </c>
    </row>
    <row r="15" spans="1:23" ht="16.5" thickTop="1" thickBot="1" x14ac:dyDescent="0.3">
      <c r="A15" s="361" t="s">
        <v>6</v>
      </c>
      <c r="B15" s="362"/>
      <c r="C15" s="362"/>
      <c r="D15" s="363"/>
      <c r="E15" s="49">
        <f>+G15/F15</f>
        <v>33.676325282221789</v>
      </c>
      <c r="F15" s="40">
        <f>SUM(F4:F14)</f>
        <v>10472.26</v>
      </c>
      <c r="G15" s="40">
        <f t="shared" ref="G15:Q15" si="32">SUM(G4:G14)</f>
        <v>352667.23419999995</v>
      </c>
      <c r="H15" s="40">
        <f t="shared" si="32"/>
        <v>41035</v>
      </c>
      <c r="I15" s="40">
        <f t="shared" si="32"/>
        <v>311633</v>
      </c>
      <c r="J15" s="40">
        <f t="shared" si="32"/>
        <v>352668</v>
      </c>
      <c r="K15" s="40">
        <f t="shared" si="32"/>
        <v>12312</v>
      </c>
      <c r="L15" s="40">
        <f t="shared" si="32"/>
        <v>123473</v>
      </c>
      <c r="M15" s="40">
        <f t="shared" si="32"/>
        <v>1052074</v>
      </c>
      <c r="N15" s="40">
        <f t="shared" si="32"/>
        <v>1175547</v>
      </c>
      <c r="O15" s="40">
        <f t="shared" si="32"/>
        <v>32975</v>
      </c>
      <c r="P15" s="40">
        <f t="shared" si="32"/>
        <v>27902</v>
      </c>
      <c r="Q15" s="40">
        <f t="shared" si="32"/>
        <v>1248736</v>
      </c>
      <c r="R15" s="41">
        <f t="shared" si="4"/>
        <v>119.24226480243996</v>
      </c>
      <c r="S15" s="41">
        <f t="shared" si="5"/>
        <v>112.25341998766264</v>
      </c>
      <c r="T15" s="175">
        <f t="shared" si="6"/>
        <v>3.0089679541854513</v>
      </c>
      <c r="U15" s="175">
        <f t="shared" si="7"/>
        <v>3.3760031832315578</v>
      </c>
      <c r="V15" s="41">
        <f t="shared" si="8"/>
        <v>1.1756774564420669</v>
      </c>
      <c r="W15" s="41">
        <f t="shared" si="9"/>
        <v>5.8131673583352592</v>
      </c>
    </row>
    <row r="16" spans="1:23" ht="33" thickTop="1" x14ac:dyDescent="0.25">
      <c r="A16" s="98" t="s">
        <v>86</v>
      </c>
      <c r="B16" s="355" t="s">
        <v>276</v>
      </c>
      <c r="C16" s="355"/>
      <c r="D16" s="355"/>
      <c r="E16" s="42" t="s">
        <v>180</v>
      </c>
      <c r="F16" s="43" t="s">
        <v>28</v>
      </c>
      <c r="G16" s="43"/>
      <c r="H16" s="43"/>
      <c r="I16" s="43"/>
      <c r="J16" s="43"/>
      <c r="K16" s="43" t="s">
        <v>295</v>
      </c>
      <c r="L16" s="371">
        <v>33800000043220</v>
      </c>
      <c r="M16" s="371"/>
      <c r="N16" s="133"/>
      <c r="O16" s="370" t="s">
        <v>148</v>
      </c>
      <c r="P16" s="370"/>
      <c r="Q16" s="370"/>
      <c r="R16" s="370"/>
      <c r="S16" s="44"/>
      <c r="T16" s="44"/>
      <c r="U16" s="44"/>
      <c r="V16" s="44"/>
      <c r="W16" s="44"/>
    </row>
    <row r="17" spans="1:23" ht="15.75" thickBot="1" x14ac:dyDescent="0.3"/>
    <row r="18" spans="1:23" ht="24.75" customHeight="1" thickTop="1" thickBot="1" x14ac:dyDescent="0.3">
      <c r="A18" s="364" t="s">
        <v>64</v>
      </c>
      <c r="B18" s="366" t="s">
        <v>0</v>
      </c>
      <c r="C18" s="360" t="s">
        <v>5</v>
      </c>
      <c r="D18" s="360"/>
      <c r="E18" s="360" t="s">
        <v>65</v>
      </c>
      <c r="F18" s="357" t="s">
        <v>2</v>
      </c>
      <c r="G18" s="358"/>
      <c r="H18" s="358"/>
      <c r="I18" s="358"/>
      <c r="J18" s="359"/>
      <c r="K18" s="357" t="s">
        <v>13</v>
      </c>
      <c r="L18" s="358"/>
      <c r="M18" s="358"/>
      <c r="N18" s="358"/>
      <c r="O18" s="358"/>
      <c r="P18" s="358"/>
      <c r="Q18" s="358"/>
      <c r="R18" s="357" t="s">
        <v>66</v>
      </c>
      <c r="S18" s="358"/>
      <c r="T18" s="358"/>
      <c r="U18" s="358"/>
      <c r="V18" s="358"/>
      <c r="W18" s="359"/>
    </row>
    <row r="19" spans="1:23" ht="31.5" thickTop="1" thickBot="1" x14ac:dyDescent="0.3">
      <c r="A19" s="365"/>
      <c r="B19" s="367"/>
      <c r="C19" s="171" t="s">
        <v>3</v>
      </c>
      <c r="D19" s="171" t="s">
        <v>4</v>
      </c>
      <c r="E19" s="360"/>
      <c r="F19" s="171" t="s">
        <v>67</v>
      </c>
      <c r="G19" s="171" t="s">
        <v>1</v>
      </c>
      <c r="H19" s="171" t="s">
        <v>277</v>
      </c>
      <c r="I19" s="171" t="s">
        <v>278</v>
      </c>
      <c r="J19" s="171" t="s">
        <v>279</v>
      </c>
      <c r="K19" s="171" t="s">
        <v>271</v>
      </c>
      <c r="L19" s="171" t="s">
        <v>272</v>
      </c>
      <c r="M19" s="171" t="s">
        <v>273</v>
      </c>
      <c r="N19" s="167" t="s">
        <v>274</v>
      </c>
      <c r="O19" s="167" t="s">
        <v>379</v>
      </c>
      <c r="P19" s="167" t="s">
        <v>26</v>
      </c>
      <c r="Q19" s="167" t="s">
        <v>275</v>
      </c>
      <c r="R19" s="170" t="s">
        <v>6</v>
      </c>
      <c r="S19" s="170" t="s">
        <v>21</v>
      </c>
      <c r="T19" s="170" t="s">
        <v>280</v>
      </c>
      <c r="U19" s="170" t="s">
        <v>281</v>
      </c>
      <c r="V19" s="170" t="s">
        <v>20</v>
      </c>
      <c r="W19" s="170" t="s">
        <v>27</v>
      </c>
    </row>
    <row r="20" spans="1:23" ht="16.5" customHeight="1" thickTop="1" x14ac:dyDescent="0.25">
      <c r="A20" s="368" t="s">
        <v>299</v>
      </c>
      <c r="B20" s="342" t="s">
        <v>409</v>
      </c>
      <c r="C20" s="343">
        <v>44197</v>
      </c>
      <c r="D20" s="343">
        <v>44260</v>
      </c>
      <c r="E20" s="342">
        <v>33.700000000000003</v>
      </c>
      <c r="F20" s="147">
        <v>5996.96</v>
      </c>
      <c r="G20" s="35">
        <f t="shared" ref="G20:G21" si="33">+F20*E20</f>
        <v>202097.55200000003</v>
      </c>
      <c r="H20" s="35">
        <v>13971</v>
      </c>
      <c r="I20" s="35">
        <v>188127</v>
      </c>
      <c r="J20" s="35">
        <f t="shared" ref="J20:J21" si="34">+I20+H20</f>
        <v>202098</v>
      </c>
      <c r="K20" s="35">
        <f>3*1026</f>
        <v>3078</v>
      </c>
      <c r="L20" s="35">
        <v>42039</v>
      </c>
      <c r="M20" s="35">
        <v>635117</v>
      </c>
      <c r="N20" s="35">
        <f t="shared" ref="N20:N31" si="35">+M20+L20</f>
        <v>677156</v>
      </c>
      <c r="O20" s="35">
        <v>18895</v>
      </c>
      <c r="P20" s="35">
        <v>15989</v>
      </c>
      <c r="Q20" s="147">
        <f t="shared" ref="Q20:Q22" si="36">+P20+O20+N20+K20</f>
        <v>715118</v>
      </c>
      <c r="R20" s="36">
        <f t="shared" ref="R20:R32" si="37">+Q20/F20</f>
        <v>119.24675168752168</v>
      </c>
      <c r="S20" s="36">
        <f t="shared" ref="S20:S32" si="38">+N20/F20</f>
        <v>112.91654438248713</v>
      </c>
      <c r="T20" s="174">
        <f t="shared" ref="T20:T32" si="39">+L20/H20</f>
        <v>3.0090186815546489</v>
      </c>
      <c r="U20" s="174">
        <f t="shared" ref="U20:U32" si="40">+M20/I20</f>
        <v>3.3760013182584103</v>
      </c>
      <c r="V20" s="36">
        <f t="shared" ref="V20:V32" si="41">+K20/F20</f>
        <v>0.51326005175955813</v>
      </c>
      <c r="W20" s="36">
        <f t="shared" ref="W20:W32" si="42">+(O20+P20)/F20</f>
        <v>5.8169472532749928</v>
      </c>
    </row>
    <row r="21" spans="1:23" x14ac:dyDescent="0.25">
      <c r="A21" s="369"/>
      <c r="B21" s="192" t="s">
        <v>410</v>
      </c>
      <c r="C21" s="162">
        <v>44261</v>
      </c>
      <c r="D21" s="162">
        <v>44304</v>
      </c>
      <c r="E21" s="192">
        <v>33.700000000000003</v>
      </c>
      <c r="F21" s="147">
        <v>2932</v>
      </c>
      <c r="G21" s="35">
        <f t="shared" si="33"/>
        <v>98808.400000000009</v>
      </c>
      <c r="H21" s="35">
        <v>7207</v>
      </c>
      <c r="I21" s="35">
        <v>91601</v>
      </c>
      <c r="J21" s="35">
        <f t="shared" si="34"/>
        <v>98808</v>
      </c>
      <c r="K21" s="35">
        <v>1026</v>
      </c>
      <c r="L21" s="35">
        <v>21686</v>
      </c>
      <c r="M21" s="35">
        <v>309245</v>
      </c>
      <c r="N21" s="35">
        <f t="shared" si="35"/>
        <v>330931</v>
      </c>
      <c r="O21" s="35">
        <v>9238</v>
      </c>
      <c r="P21" s="35">
        <v>7817</v>
      </c>
      <c r="Q21" s="147">
        <f t="shared" si="36"/>
        <v>349012</v>
      </c>
      <c r="R21" s="36">
        <f t="shared" si="37"/>
        <v>119.03547066848567</v>
      </c>
      <c r="S21" s="36">
        <f t="shared" si="38"/>
        <v>112.86869031377898</v>
      </c>
      <c r="T21" s="174">
        <f t="shared" si="39"/>
        <v>3.0090190092965172</v>
      </c>
      <c r="U21" s="174">
        <f t="shared" si="40"/>
        <v>3.3760002620058733</v>
      </c>
      <c r="V21" s="36">
        <f t="shared" si="41"/>
        <v>0.34993178717598911</v>
      </c>
      <c r="W21" s="36">
        <f t="shared" si="42"/>
        <v>5.8168485675306956</v>
      </c>
    </row>
    <row r="22" spans="1:23" x14ac:dyDescent="0.25">
      <c r="A22" s="369"/>
      <c r="B22" s="192" t="s">
        <v>410</v>
      </c>
      <c r="C22" s="162">
        <v>44305</v>
      </c>
      <c r="D22" s="162">
        <v>44334</v>
      </c>
      <c r="E22" s="192">
        <v>33.700000000000003</v>
      </c>
      <c r="F22" s="147">
        <v>573</v>
      </c>
      <c r="G22" s="35">
        <f t="shared" ref="G22:G31" si="43">+F22*E22</f>
        <v>19310.100000000002</v>
      </c>
      <c r="H22" s="35">
        <v>1356</v>
      </c>
      <c r="I22" s="35">
        <v>17954</v>
      </c>
      <c r="J22" s="35">
        <f t="shared" ref="J22:J31" si="44">+I22+H22</f>
        <v>19310</v>
      </c>
      <c r="K22" s="35">
        <v>1026</v>
      </c>
      <c r="L22" s="35">
        <v>4080</v>
      </c>
      <c r="M22" s="35">
        <v>60613</v>
      </c>
      <c r="N22" s="35">
        <f t="shared" si="35"/>
        <v>64693</v>
      </c>
      <c r="O22" s="35">
        <v>1805</v>
      </c>
      <c r="P22" s="35">
        <v>1528</v>
      </c>
      <c r="Q22" s="147">
        <f t="shared" si="36"/>
        <v>69052</v>
      </c>
      <c r="R22" s="36">
        <f t="shared" si="37"/>
        <v>120.50959860383944</v>
      </c>
      <c r="S22" s="36">
        <f t="shared" si="38"/>
        <v>112.9022687609075</v>
      </c>
      <c r="T22" s="174">
        <f t="shared" si="39"/>
        <v>3.0088495575221237</v>
      </c>
      <c r="U22" s="174">
        <f t="shared" si="40"/>
        <v>3.3760164865768072</v>
      </c>
      <c r="V22" s="36">
        <f t="shared" si="41"/>
        <v>1.7905759162303665</v>
      </c>
      <c r="W22" s="36">
        <f t="shared" si="42"/>
        <v>5.8167539267015709</v>
      </c>
    </row>
    <row r="23" spans="1:23" x14ac:dyDescent="0.25">
      <c r="A23" s="369"/>
      <c r="B23" s="192" t="s">
        <v>410</v>
      </c>
      <c r="C23" s="162">
        <v>44335</v>
      </c>
      <c r="D23" s="162">
        <v>44365</v>
      </c>
      <c r="E23" s="192">
        <v>33.700000000000003</v>
      </c>
      <c r="F23" s="147">
        <v>167</v>
      </c>
      <c r="G23" s="35">
        <f t="shared" si="43"/>
        <v>5627.9000000000005</v>
      </c>
      <c r="H23" s="35">
        <v>1165</v>
      </c>
      <c r="I23" s="35">
        <v>4463</v>
      </c>
      <c r="J23" s="35">
        <f t="shared" si="44"/>
        <v>5628</v>
      </c>
      <c r="K23" s="35">
        <v>1026</v>
      </c>
      <c r="L23" s="35">
        <v>3505</v>
      </c>
      <c r="M23" s="35">
        <v>15067</v>
      </c>
      <c r="N23" s="35">
        <f t="shared" si="35"/>
        <v>18572</v>
      </c>
      <c r="O23" s="35">
        <v>526</v>
      </c>
      <c r="P23" s="35">
        <v>445</v>
      </c>
      <c r="Q23" s="147">
        <f t="shared" ref="Q23:Q30" si="45">+P23+O23+N23+K23</f>
        <v>20569</v>
      </c>
      <c r="R23" s="36">
        <f t="shared" ref="R23:R30" si="46">+Q23/F23</f>
        <v>123.16766467065868</v>
      </c>
      <c r="S23" s="36">
        <f t="shared" ref="S23:S30" si="47">+N23/F23</f>
        <v>111.20958083832335</v>
      </c>
      <c r="T23" s="174">
        <f t="shared" ref="T23:T30" si="48">+L23/H23</f>
        <v>3.0085836909871246</v>
      </c>
      <c r="U23" s="174">
        <f t="shared" ref="U23:U30" si="49">+M23/I23</f>
        <v>3.3759802823213088</v>
      </c>
      <c r="V23" s="36">
        <f t="shared" ref="V23:V30" si="50">+K23/F23</f>
        <v>6.1437125748502996</v>
      </c>
      <c r="W23" s="36">
        <f t="shared" ref="W23:W30" si="51">+(O23+P23)/F23</f>
        <v>5.8143712574850301</v>
      </c>
    </row>
    <row r="24" spans="1:23" x14ac:dyDescent="0.25">
      <c r="A24" s="369"/>
      <c r="B24" s="192" t="s">
        <v>410</v>
      </c>
      <c r="C24" s="162">
        <v>44366</v>
      </c>
      <c r="D24" s="162">
        <v>44395</v>
      </c>
      <c r="E24" s="192">
        <v>33.700000000000003</v>
      </c>
      <c r="F24" s="147">
        <v>162</v>
      </c>
      <c r="G24" s="35">
        <f t="shared" si="43"/>
        <v>5459.4000000000005</v>
      </c>
      <c r="H24" s="35">
        <v>362</v>
      </c>
      <c r="I24" s="35">
        <v>5097</v>
      </c>
      <c r="J24" s="35">
        <f t="shared" si="44"/>
        <v>5459</v>
      </c>
      <c r="K24" s="35">
        <v>1026</v>
      </c>
      <c r="L24" s="35">
        <v>1089</v>
      </c>
      <c r="M24" s="35">
        <v>17207</v>
      </c>
      <c r="N24" s="35">
        <f t="shared" si="35"/>
        <v>18296</v>
      </c>
      <c r="O24" s="35">
        <v>510</v>
      </c>
      <c r="P24" s="35">
        <v>432</v>
      </c>
      <c r="Q24" s="147">
        <f t="shared" si="45"/>
        <v>20264</v>
      </c>
      <c r="R24" s="36">
        <f t="shared" si="46"/>
        <v>125.08641975308642</v>
      </c>
      <c r="S24" s="36">
        <f t="shared" si="47"/>
        <v>112.93827160493827</v>
      </c>
      <c r="T24" s="174">
        <f t="shared" si="48"/>
        <v>3.0082872928176796</v>
      </c>
      <c r="U24" s="174">
        <f t="shared" si="49"/>
        <v>3.3759073965077495</v>
      </c>
      <c r="V24" s="36">
        <f t="shared" si="50"/>
        <v>6.333333333333333</v>
      </c>
      <c r="W24" s="36">
        <f t="shared" si="51"/>
        <v>5.8148148148148149</v>
      </c>
    </row>
    <row r="25" spans="1:23" x14ac:dyDescent="0.25">
      <c r="A25" s="369"/>
      <c r="B25" s="192" t="s">
        <v>410</v>
      </c>
      <c r="C25" s="162">
        <v>44396</v>
      </c>
      <c r="D25" s="162">
        <v>44426</v>
      </c>
      <c r="E25" s="192">
        <v>33.700000000000003</v>
      </c>
      <c r="F25" s="147">
        <v>167</v>
      </c>
      <c r="G25" s="35">
        <f t="shared" si="43"/>
        <v>5627.9000000000005</v>
      </c>
      <c r="H25" s="35">
        <v>374</v>
      </c>
      <c r="I25" s="35">
        <v>5254</v>
      </c>
      <c r="J25" s="35">
        <f t="shared" si="44"/>
        <v>5628</v>
      </c>
      <c r="K25" s="35">
        <v>1026</v>
      </c>
      <c r="L25" s="35">
        <v>1125</v>
      </c>
      <c r="M25" s="35">
        <v>17738</v>
      </c>
      <c r="N25" s="35">
        <f t="shared" si="35"/>
        <v>18863</v>
      </c>
      <c r="O25" s="35">
        <v>526</v>
      </c>
      <c r="P25" s="35">
        <v>445</v>
      </c>
      <c r="Q25" s="147">
        <f t="shared" si="45"/>
        <v>20860</v>
      </c>
      <c r="R25" s="36">
        <f t="shared" si="46"/>
        <v>124.91017964071857</v>
      </c>
      <c r="S25" s="36">
        <f t="shared" si="47"/>
        <v>112.95209580838323</v>
      </c>
      <c r="T25" s="174">
        <f t="shared" si="48"/>
        <v>3.0080213903743314</v>
      </c>
      <c r="U25" s="174">
        <f t="shared" si="49"/>
        <v>3.3760944042634184</v>
      </c>
      <c r="V25" s="36">
        <f t="shared" si="50"/>
        <v>6.1437125748502996</v>
      </c>
      <c r="W25" s="36">
        <f t="shared" si="51"/>
        <v>5.8143712574850301</v>
      </c>
    </row>
    <row r="26" spans="1:23" x14ac:dyDescent="0.25">
      <c r="A26" s="369"/>
      <c r="B26" s="192" t="s">
        <v>410</v>
      </c>
      <c r="C26" s="162">
        <v>44427</v>
      </c>
      <c r="D26" s="162">
        <v>44457</v>
      </c>
      <c r="E26" s="192">
        <v>33.700000000000003</v>
      </c>
      <c r="F26" s="147">
        <v>167</v>
      </c>
      <c r="G26" s="35">
        <f t="shared" si="43"/>
        <v>5627.9000000000005</v>
      </c>
      <c r="H26" s="35">
        <v>596</v>
      </c>
      <c r="I26" s="35">
        <v>5032</v>
      </c>
      <c r="J26" s="35">
        <f t="shared" si="44"/>
        <v>5628</v>
      </c>
      <c r="K26" s="35">
        <v>1026</v>
      </c>
      <c r="L26" s="35">
        <v>1793</v>
      </c>
      <c r="M26" s="35">
        <v>16988</v>
      </c>
      <c r="N26" s="35">
        <f t="shared" si="35"/>
        <v>18781</v>
      </c>
      <c r="O26" s="35">
        <v>526</v>
      </c>
      <c r="P26" s="35">
        <v>445</v>
      </c>
      <c r="Q26" s="147">
        <f t="shared" si="45"/>
        <v>20778</v>
      </c>
      <c r="R26" s="36">
        <f t="shared" si="46"/>
        <v>124.41916167664671</v>
      </c>
      <c r="S26" s="36">
        <f t="shared" si="47"/>
        <v>112.46107784431138</v>
      </c>
      <c r="T26" s="174">
        <f t="shared" si="48"/>
        <v>3.0083892617449663</v>
      </c>
      <c r="U26" s="174">
        <f t="shared" si="49"/>
        <v>3.375993640699523</v>
      </c>
      <c r="V26" s="36">
        <f t="shared" si="50"/>
        <v>6.1437125748502996</v>
      </c>
      <c r="W26" s="36">
        <f t="shared" si="51"/>
        <v>5.8143712574850301</v>
      </c>
    </row>
    <row r="27" spans="1:23" x14ac:dyDescent="0.25">
      <c r="A27" s="369"/>
      <c r="B27" s="192" t="s">
        <v>410</v>
      </c>
      <c r="C27" s="162">
        <v>44458</v>
      </c>
      <c r="D27" s="162">
        <v>44487</v>
      </c>
      <c r="E27" s="192">
        <v>33.700000000000003</v>
      </c>
      <c r="F27" s="147">
        <v>1033</v>
      </c>
      <c r="G27" s="35">
        <f t="shared" si="43"/>
        <v>34812.100000000006</v>
      </c>
      <c r="H27" s="35">
        <v>2296</v>
      </c>
      <c r="I27" s="35">
        <v>32516</v>
      </c>
      <c r="J27" s="35">
        <f t="shared" si="44"/>
        <v>34812</v>
      </c>
      <c r="K27" s="35">
        <v>1026</v>
      </c>
      <c r="L27" s="35">
        <v>6909</v>
      </c>
      <c r="M27" s="35">
        <v>109774</v>
      </c>
      <c r="N27" s="35">
        <f t="shared" si="35"/>
        <v>116683</v>
      </c>
      <c r="O27" s="35">
        <v>3255</v>
      </c>
      <c r="P27" s="35">
        <v>2754</v>
      </c>
      <c r="Q27" s="147">
        <f t="shared" si="45"/>
        <v>123718</v>
      </c>
      <c r="R27" s="36">
        <f t="shared" si="46"/>
        <v>119.76573088092933</v>
      </c>
      <c r="S27" s="36">
        <f t="shared" si="47"/>
        <v>112.95546950629235</v>
      </c>
      <c r="T27" s="174">
        <f t="shared" si="48"/>
        <v>3.0091463414634148</v>
      </c>
      <c r="U27" s="174">
        <f t="shared" si="49"/>
        <v>3.3759995079345555</v>
      </c>
      <c r="V27" s="36">
        <f t="shared" si="50"/>
        <v>0.99322362052274926</v>
      </c>
      <c r="W27" s="36">
        <f t="shared" si="51"/>
        <v>5.8170377541142306</v>
      </c>
    </row>
    <row r="28" spans="1:23" x14ac:dyDescent="0.25">
      <c r="A28" s="369"/>
      <c r="B28" s="192" t="s">
        <v>410</v>
      </c>
      <c r="C28" s="162">
        <v>44488</v>
      </c>
      <c r="D28" s="162">
        <v>44518</v>
      </c>
      <c r="E28" s="192">
        <v>33.700000000000003</v>
      </c>
      <c r="F28" s="147">
        <v>1936</v>
      </c>
      <c r="G28" s="35">
        <f t="shared" si="43"/>
        <v>65243.200000000004</v>
      </c>
      <c r="H28" s="35">
        <v>4302</v>
      </c>
      <c r="I28" s="35">
        <v>60941</v>
      </c>
      <c r="J28" s="35">
        <f t="shared" si="44"/>
        <v>65243</v>
      </c>
      <c r="K28" s="35">
        <v>1026</v>
      </c>
      <c r="L28" s="35">
        <v>12945</v>
      </c>
      <c r="M28" s="35">
        <v>205737</v>
      </c>
      <c r="N28" s="35">
        <f t="shared" si="35"/>
        <v>218682</v>
      </c>
      <c r="O28" s="35">
        <v>6100</v>
      </c>
      <c r="P28" s="35">
        <v>5161</v>
      </c>
      <c r="Q28" s="147">
        <f t="shared" si="45"/>
        <v>230969</v>
      </c>
      <c r="R28" s="36">
        <f t="shared" si="46"/>
        <v>119.3021694214876</v>
      </c>
      <c r="S28" s="36">
        <f t="shared" si="47"/>
        <v>112.9555785123967</v>
      </c>
      <c r="T28" s="174">
        <f t="shared" si="48"/>
        <v>3.0090655509065551</v>
      </c>
      <c r="U28" s="174">
        <f t="shared" si="49"/>
        <v>3.3760030193137625</v>
      </c>
      <c r="V28" s="36">
        <f t="shared" si="50"/>
        <v>0.5299586776859504</v>
      </c>
      <c r="W28" s="36">
        <f t="shared" si="51"/>
        <v>5.8166322314049586</v>
      </c>
    </row>
    <row r="29" spans="1:23" x14ac:dyDescent="0.25">
      <c r="A29" s="369"/>
      <c r="B29" s="192" t="s">
        <v>410</v>
      </c>
      <c r="C29" s="162">
        <v>44519</v>
      </c>
      <c r="D29" s="162">
        <v>44548</v>
      </c>
      <c r="E29" s="192">
        <v>33.700000000000003</v>
      </c>
      <c r="F29" s="147">
        <v>2833</v>
      </c>
      <c r="G29" s="35">
        <f t="shared" si="43"/>
        <v>95472.1</v>
      </c>
      <c r="H29" s="35">
        <v>6202</v>
      </c>
      <c r="I29" s="35">
        <v>89270</v>
      </c>
      <c r="J29" s="35">
        <f t="shared" si="44"/>
        <v>95472</v>
      </c>
      <c r="K29" s="35">
        <v>1026</v>
      </c>
      <c r="L29" s="35">
        <v>18662</v>
      </c>
      <c r="M29" s="35">
        <v>301376</v>
      </c>
      <c r="N29" s="35">
        <f t="shared" si="35"/>
        <v>320038</v>
      </c>
      <c r="O29" s="35">
        <v>8926</v>
      </c>
      <c r="P29" s="35">
        <v>7553</v>
      </c>
      <c r="Q29" s="147">
        <f t="shared" si="45"/>
        <v>337543</v>
      </c>
      <c r="R29" s="36">
        <f t="shared" si="46"/>
        <v>119.14684080480056</v>
      </c>
      <c r="S29" s="36">
        <f t="shared" si="47"/>
        <v>112.96787857394987</v>
      </c>
      <c r="T29" s="174">
        <f t="shared" si="48"/>
        <v>3.0090293453724604</v>
      </c>
      <c r="U29" s="174">
        <f t="shared" si="49"/>
        <v>3.3760053769463427</v>
      </c>
      <c r="V29" s="36">
        <f t="shared" si="50"/>
        <v>0.36216025414754677</v>
      </c>
      <c r="W29" s="36">
        <f t="shared" si="51"/>
        <v>5.8168019767031414</v>
      </c>
    </row>
    <row r="30" spans="1:23" x14ac:dyDescent="0.25">
      <c r="A30" s="369"/>
      <c r="B30" s="192" t="s">
        <v>410</v>
      </c>
      <c r="C30" s="162">
        <v>44549</v>
      </c>
      <c r="D30" s="162">
        <v>44561</v>
      </c>
      <c r="E30" s="192">
        <v>33.58</v>
      </c>
      <c r="F30" s="147">
        <v>1407</v>
      </c>
      <c r="G30" s="35">
        <f t="shared" si="43"/>
        <v>47247.06</v>
      </c>
      <c r="H30" s="35">
        <v>3051</v>
      </c>
      <c r="I30" s="35">
        <v>44196</v>
      </c>
      <c r="J30" s="35">
        <f t="shared" si="44"/>
        <v>47247</v>
      </c>
      <c r="K30" s="35">
        <v>0</v>
      </c>
      <c r="L30" s="35">
        <v>9180</v>
      </c>
      <c r="M30" s="35">
        <v>149206</v>
      </c>
      <c r="N30" s="35">
        <f t="shared" si="35"/>
        <v>158386</v>
      </c>
      <c r="O30" s="35">
        <v>4417</v>
      </c>
      <c r="P30" s="35">
        <v>3738</v>
      </c>
      <c r="Q30" s="147">
        <f t="shared" si="45"/>
        <v>166541</v>
      </c>
      <c r="R30" s="36">
        <f t="shared" si="46"/>
        <v>118.36602700781805</v>
      </c>
      <c r="S30" s="36">
        <f t="shared" si="47"/>
        <v>112.57000710732054</v>
      </c>
      <c r="T30" s="174">
        <f t="shared" si="48"/>
        <v>3.0088495575221237</v>
      </c>
      <c r="U30" s="174">
        <f t="shared" si="49"/>
        <v>3.3760068784505384</v>
      </c>
      <c r="V30" s="36">
        <f t="shared" si="50"/>
        <v>0</v>
      </c>
      <c r="W30" s="36">
        <f t="shared" si="51"/>
        <v>5.7960199004975124</v>
      </c>
    </row>
    <row r="31" spans="1:23" ht="15.75" thickBot="1" x14ac:dyDescent="0.3">
      <c r="A31" s="369"/>
      <c r="B31" s="342" t="s">
        <v>409</v>
      </c>
      <c r="C31" s="343">
        <v>44261</v>
      </c>
      <c r="D31" s="343">
        <v>44561</v>
      </c>
      <c r="E31" s="342">
        <v>33.61</v>
      </c>
      <c r="F31" s="147">
        <v>12267.02</v>
      </c>
      <c r="G31" s="35">
        <f t="shared" si="43"/>
        <v>412294.54220000003</v>
      </c>
      <c r="H31" s="35">
        <v>27069</v>
      </c>
      <c r="I31" s="35">
        <v>385226</v>
      </c>
      <c r="J31" s="35">
        <f t="shared" si="44"/>
        <v>412295</v>
      </c>
      <c r="K31" s="35">
        <f>9*1026</f>
        <v>9234</v>
      </c>
      <c r="L31" s="35">
        <v>81451</v>
      </c>
      <c r="M31" s="35">
        <v>1300523</v>
      </c>
      <c r="N31" s="35">
        <f t="shared" si="35"/>
        <v>1381974</v>
      </c>
      <c r="O31" s="35">
        <f>17130+21419</f>
        <v>38549</v>
      </c>
      <c r="P31" s="35">
        <f>14495+18124</f>
        <v>32619</v>
      </c>
      <c r="Q31" s="147">
        <f t="shared" ref="Q31" si="52">+P31+O31+N31+K31</f>
        <v>1462376</v>
      </c>
      <c r="R31" s="36">
        <f t="shared" ref="R31" si="53">+Q31/F31</f>
        <v>119.21200095866803</v>
      </c>
      <c r="S31" s="36">
        <f t="shared" ref="S31" si="54">+N31/F31</f>
        <v>112.65767888207567</v>
      </c>
      <c r="T31" s="174">
        <f t="shared" ref="T31" si="55">+L31/H31</f>
        <v>3.0090140012560496</v>
      </c>
      <c r="U31" s="174">
        <f t="shared" ref="U31" si="56">+M31/I31</f>
        <v>3.3760000623010908</v>
      </c>
      <c r="V31" s="36">
        <f t="shared" ref="V31" si="57">+K31/F31</f>
        <v>0.75275005665597672</v>
      </c>
      <c r="W31" s="36">
        <f t="shared" ref="W31" si="58">+(O31+P31)/F31</f>
        <v>5.8015720199363825</v>
      </c>
    </row>
    <row r="32" spans="1:23" ht="16.5" thickTop="1" thickBot="1" x14ac:dyDescent="0.3">
      <c r="A32" s="361" t="s">
        <v>6</v>
      </c>
      <c r="B32" s="362"/>
      <c r="C32" s="362"/>
      <c r="D32" s="363"/>
      <c r="E32" s="49">
        <f>+G32/F32</f>
        <v>33.639551412123758</v>
      </c>
      <c r="F32" s="40">
        <f>+F31+F20</f>
        <v>18263.98</v>
      </c>
      <c r="G32" s="40">
        <f t="shared" ref="G32:Q32" si="59">+G31+G20</f>
        <v>614392.09420000005</v>
      </c>
      <c r="H32" s="40">
        <f t="shared" si="59"/>
        <v>41040</v>
      </c>
      <c r="I32" s="40">
        <f t="shared" si="59"/>
        <v>573353</v>
      </c>
      <c r="J32" s="40">
        <f t="shared" si="59"/>
        <v>614393</v>
      </c>
      <c r="K32" s="40">
        <f t="shared" si="59"/>
        <v>12312</v>
      </c>
      <c r="L32" s="40">
        <f t="shared" si="59"/>
        <v>123490</v>
      </c>
      <c r="M32" s="40">
        <f t="shared" si="59"/>
        <v>1935640</v>
      </c>
      <c r="N32" s="40">
        <f t="shared" si="59"/>
        <v>2059130</v>
      </c>
      <c r="O32" s="40">
        <f t="shared" si="59"/>
        <v>57444</v>
      </c>
      <c r="P32" s="40">
        <f t="shared" si="59"/>
        <v>48608</v>
      </c>
      <c r="Q32" s="40">
        <f t="shared" si="59"/>
        <v>2177494</v>
      </c>
      <c r="R32" s="41">
        <f t="shared" si="37"/>
        <v>119.22341132655643</v>
      </c>
      <c r="S32" s="41">
        <f t="shared" si="38"/>
        <v>112.7426771163788</v>
      </c>
      <c r="T32" s="175">
        <f t="shared" si="39"/>
        <v>3.0090155945419101</v>
      </c>
      <c r="U32" s="175">
        <f t="shared" si="40"/>
        <v>3.3760004744023315</v>
      </c>
      <c r="V32" s="41">
        <f t="shared" si="41"/>
        <v>0.67411374738693319</v>
      </c>
      <c r="W32" s="41">
        <f t="shared" si="42"/>
        <v>5.8066204627906952</v>
      </c>
    </row>
    <row r="33" spans="1:23" ht="33" thickTop="1" x14ac:dyDescent="0.25">
      <c r="A33" s="98" t="s">
        <v>86</v>
      </c>
      <c r="B33" s="355" t="s">
        <v>298</v>
      </c>
      <c r="C33" s="355"/>
      <c r="D33" s="355"/>
      <c r="E33" s="42" t="s">
        <v>180</v>
      </c>
      <c r="F33" s="43" t="s">
        <v>28</v>
      </c>
      <c r="G33" s="43"/>
      <c r="H33" s="43"/>
      <c r="I33" s="43"/>
      <c r="J33" s="43"/>
      <c r="K33" s="43" t="s">
        <v>295</v>
      </c>
      <c r="L33" s="371">
        <v>41771306</v>
      </c>
      <c r="M33" s="371"/>
      <c r="N33" s="169"/>
      <c r="O33" s="370" t="s">
        <v>165</v>
      </c>
      <c r="P33" s="370"/>
      <c r="Q33" s="370"/>
      <c r="R33" s="370"/>
      <c r="S33" s="44"/>
      <c r="T33" s="44"/>
      <c r="U33" s="44"/>
      <c r="V33" s="44"/>
      <c r="W33" s="44"/>
    </row>
    <row r="34" spans="1:23" ht="15.75" thickBot="1" x14ac:dyDescent="0.3"/>
    <row r="35" spans="1:23" ht="39.75" customHeight="1" thickTop="1" thickBot="1" x14ac:dyDescent="0.3">
      <c r="A35" s="364" t="s">
        <v>64</v>
      </c>
      <c r="B35" s="366" t="s">
        <v>0</v>
      </c>
      <c r="C35" s="360" t="s">
        <v>5</v>
      </c>
      <c r="D35" s="360"/>
      <c r="E35" s="360" t="s">
        <v>65</v>
      </c>
      <c r="F35" s="357" t="s">
        <v>2</v>
      </c>
      <c r="G35" s="358"/>
      <c r="H35" s="358"/>
      <c r="I35" s="358"/>
      <c r="J35" s="359"/>
      <c r="K35" s="357" t="s">
        <v>308</v>
      </c>
      <c r="L35" s="358"/>
      <c r="M35" s="358"/>
      <c r="N35" s="358"/>
      <c r="O35" s="358"/>
      <c r="P35" s="358"/>
      <c r="Q35" s="358"/>
      <c r="R35" s="357" t="s">
        <v>66</v>
      </c>
      <c r="S35" s="358"/>
      <c r="T35" s="358"/>
      <c r="U35" s="358"/>
      <c r="V35" s="358"/>
      <c r="W35" s="359"/>
    </row>
    <row r="36" spans="1:23" ht="31.5" thickTop="1" thickBot="1" x14ac:dyDescent="0.3">
      <c r="A36" s="365"/>
      <c r="B36" s="367"/>
      <c r="C36" s="171" t="s">
        <v>3</v>
      </c>
      <c r="D36" s="171" t="s">
        <v>4</v>
      </c>
      <c r="E36" s="360"/>
      <c r="F36" s="171" t="s">
        <v>306</v>
      </c>
      <c r="G36" s="171" t="s">
        <v>307</v>
      </c>
      <c r="H36" s="171" t="s">
        <v>314</v>
      </c>
      <c r="I36" s="171" t="s">
        <v>315</v>
      </c>
      <c r="J36" s="171" t="s">
        <v>316</v>
      </c>
      <c r="K36" s="171" t="s">
        <v>271</v>
      </c>
      <c r="L36" s="171" t="s">
        <v>272</v>
      </c>
      <c r="M36" s="171" t="s">
        <v>273</v>
      </c>
      <c r="N36" s="167" t="s">
        <v>274</v>
      </c>
      <c r="O36" s="167" t="s">
        <v>379</v>
      </c>
      <c r="P36" s="167" t="s">
        <v>26</v>
      </c>
      <c r="Q36" s="167" t="s">
        <v>275</v>
      </c>
      <c r="R36" s="170" t="s">
        <v>6</v>
      </c>
      <c r="S36" s="170" t="s">
        <v>21</v>
      </c>
      <c r="T36" s="170" t="s">
        <v>280</v>
      </c>
      <c r="U36" s="170" t="s">
        <v>281</v>
      </c>
      <c r="V36" s="170" t="s">
        <v>20</v>
      </c>
      <c r="W36" s="170" t="s">
        <v>27</v>
      </c>
    </row>
    <row r="37" spans="1:23" ht="80.25" customHeight="1" thickTop="1" thickBot="1" x14ac:dyDescent="0.3">
      <c r="A37" s="168" t="s">
        <v>304</v>
      </c>
      <c r="B37" s="94">
        <v>1</v>
      </c>
      <c r="C37" s="95">
        <v>44197</v>
      </c>
      <c r="D37" s="95">
        <v>44561</v>
      </c>
      <c r="E37" s="293">
        <f>+G37/F37</f>
        <v>33.652952801062355</v>
      </c>
      <c r="F37" s="180">
        <f t="shared" ref="F37:Q37" si="60">+F32+F15</f>
        <v>28736.239999999998</v>
      </c>
      <c r="G37" s="86">
        <f t="shared" si="60"/>
        <v>967059.3284</v>
      </c>
      <c r="H37" s="86">
        <f t="shared" si="60"/>
        <v>82075</v>
      </c>
      <c r="I37" s="86">
        <f t="shared" si="60"/>
        <v>884986</v>
      </c>
      <c r="J37" s="86">
        <f t="shared" si="60"/>
        <v>967061</v>
      </c>
      <c r="K37" s="86">
        <f t="shared" si="60"/>
        <v>24624</v>
      </c>
      <c r="L37" s="86">
        <f t="shared" si="60"/>
        <v>246963</v>
      </c>
      <c r="M37" s="86">
        <f t="shared" si="60"/>
        <v>2987714</v>
      </c>
      <c r="N37" s="86">
        <f t="shared" si="60"/>
        <v>3234677</v>
      </c>
      <c r="O37" s="86">
        <f t="shared" si="60"/>
        <v>90419</v>
      </c>
      <c r="P37" s="86">
        <f t="shared" si="60"/>
        <v>76510</v>
      </c>
      <c r="Q37" s="86">
        <f t="shared" si="60"/>
        <v>3426230</v>
      </c>
      <c r="R37" s="87">
        <f t="shared" ref="R37:R38" si="61">+Q37/F37</f>
        <v>119.23028204107428</v>
      </c>
      <c r="S37" s="87">
        <f t="shared" ref="S37:S38" si="62">+N37/F37</f>
        <v>112.56437863826305</v>
      </c>
      <c r="T37" s="181">
        <f t="shared" ref="T37:T38" si="63">+L37/H37</f>
        <v>3.0089917758148035</v>
      </c>
      <c r="U37" s="181">
        <f t="shared" ref="U37" si="64">+M37/I37</f>
        <v>3.3760014282711817</v>
      </c>
      <c r="V37" s="87">
        <f t="shared" ref="V37:V38" si="65">+K37/F37</f>
        <v>0.85689707491307154</v>
      </c>
      <c r="W37" s="87">
        <f t="shared" ref="W37:W38" si="66">+(O37+P37)/F37</f>
        <v>5.8090063278981523</v>
      </c>
    </row>
    <row r="38" spans="1:23" ht="16.5" thickTop="1" thickBot="1" x14ac:dyDescent="0.3">
      <c r="A38" s="361" t="s">
        <v>6</v>
      </c>
      <c r="B38" s="362"/>
      <c r="C38" s="362"/>
      <c r="D38" s="363"/>
      <c r="E38" s="49">
        <f>+G38/F38</f>
        <v>33.652952801062355</v>
      </c>
      <c r="F38" s="40">
        <f t="shared" ref="F38:Q38" si="67">SUM(F37:F37)</f>
        <v>28736.239999999998</v>
      </c>
      <c r="G38" s="40">
        <f t="shared" si="67"/>
        <v>967059.3284</v>
      </c>
      <c r="H38" s="40">
        <f t="shared" si="67"/>
        <v>82075</v>
      </c>
      <c r="I38" s="40">
        <f t="shared" si="67"/>
        <v>884986</v>
      </c>
      <c r="J38" s="40">
        <f t="shared" si="67"/>
        <v>967061</v>
      </c>
      <c r="K38" s="40">
        <f t="shared" si="67"/>
        <v>24624</v>
      </c>
      <c r="L38" s="40">
        <f t="shared" si="67"/>
        <v>246963</v>
      </c>
      <c r="M38" s="40">
        <f t="shared" si="67"/>
        <v>2987714</v>
      </c>
      <c r="N38" s="40">
        <f t="shared" si="67"/>
        <v>3234677</v>
      </c>
      <c r="O38" s="40">
        <f t="shared" si="67"/>
        <v>90419</v>
      </c>
      <c r="P38" s="40">
        <f t="shared" si="67"/>
        <v>76510</v>
      </c>
      <c r="Q38" s="40">
        <f t="shared" si="67"/>
        <v>3426230</v>
      </c>
      <c r="R38" s="41">
        <f t="shared" si="61"/>
        <v>119.23028204107428</v>
      </c>
      <c r="S38" s="41">
        <f t="shared" si="62"/>
        <v>112.56437863826305</v>
      </c>
      <c r="T38" s="175">
        <f t="shared" si="63"/>
        <v>3.0089917758148035</v>
      </c>
      <c r="U38" s="175">
        <f t="shared" ref="U38" si="68">+M38/I38</f>
        <v>3.3760014282711817</v>
      </c>
      <c r="V38" s="41">
        <f t="shared" si="65"/>
        <v>0.85689707491307154</v>
      </c>
      <c r="W38" s="41">
        <f t="shared" si="66"/>
        <v>5.8090063278981523</v>
      </c>
    </row>
    <row r="39" spans="1:23" ht="15.75" thickTop="1" x14ac:dyDescent="0.25"/>
    <row r="40" spans="1:23" ht="15.75" thickBot="1" x14ac:dyDescent="0.3"/>
    <row r="41" spans="1:23" ht="33.75" customHeight="1" thickTop="1" thickBot="1" x14ac:dyDescent="0.3">
      <c r="A41" s="376" t="s">
        <v>64</v>
      </c>
      <c r="B41" s="378" t="s">
        <v>0</v>
      </c>
      <c r="C41" s="375" t="s">
        <v>5</v>
      </c>
      <c r="D41" s="375"/>
      <c r="E41" s="375" t="s">
        <v>65</v>
      </c>
      <c r="F41" s="372" t="s">
        <v>2</v>
      </c>
      <c r="G41" s="373"/>
      <c r="H41" s="373"/>
      <c r="I41" s="373"/>
      <c r="J41" s="374"/>
      <c r="K41" s="372" t="s">
        <v>13</v>
      </c>
      <c r="L41" s="373"/>
      <c r="M41" s="373"/>
      <c r="N41" s="373"/>
      <c r="O41" s="373"/>
      <c r="P41" s="373"/>
      <c r="Q41" s="373"/>
      <c r="R41" s="372" t="s">
        <v>66</v>
      </c>
      <c r="S41" s="373"/>
      <c r="T41" s="373"/>
      <c r="U41" s="373"/>
      <c r="V41" s="373"/>
      <c r="W41" s="374"/>
    </row>
    <row r="42" spans="1:23" ht="31.5" thickTop="1" thickBot="1" x14ac:dyDescent="0.3">
      <c r="A42" s="377"/>
      <c r="B42" s="379"/>
      <c r="C42" s="220" t="s">
        <v>3</v>
      </c>
      <c r="D42" s="220" t="s">
        <v>4</v>
      </c>
      <c r="E42" s="375"/>
      <c r="F42" s="220" t="s">
        <v>67</v>
      </c>
      <c r="G42" s="220" t="s">
        <v>1</v>
      </c>
      <c r="H42" s="220" t="s">
        <v>277</v>
      </c>
      <c r="I42" s="220" t="s">
        <v>278</v>
      </c>
      <c r="J42" s="220" t="s">
        <v>279</v>
      </c>
      <c r="K42" s="220" t="s">
        <v>271</v>
      </c>
      <c r="L42" s="220" t="s">
        <v>272</v>
      </c>
      <c r="M42" s="220" t="s">
        <v>273</v>
      </c>
      <c r="N42" s="221" t="s">
        <v>274</v>
      </c>
      <c r="O42" s="221" t="s">
        <v>379</v>
      </c>
      <c r="P42" s="221" t="s">
        <v>26</v>
      </c>
      <c r="Q42" s="221" t="s">
        <v>275</v>
      </c>
      <c r="R42" s="222" t="s">
        <v>6</v>
      </c>
      <c r="S42" s="222" t="s">
        <v>21</v>
      </c>
      <c r="T42" s="222" t="s">
        <v>280</v>
      </c>
      <c r="U42" s="222" t="s">
        <v>281</v>
      </c>
      <c r="V42" s="222" t="s">
        <v>20</v>
      </c>
      <c r="W42" s="222" t="s">
        <v>27</v>
      </c>
    </row>
    <row r="43" spans="1:23" ht="69.75" customHeight="1" thickTop="1" thickBot="1" x14ac:dyDescent="0.3">
      <c r="A43" s="314" t="s">
        <v>339</v>
      </c>
      <c r="B43" s="319">
        <v>1</v>
      </c>
      <c r="C43" s="320">
        <v>44197</v>
      </c>
      <c r="D43" s="320">
        <v>44561</v>
      </c>
      <c r="E43" s="321">
        <f>+G43/F43</f>
        <v>33.652952801062362</v>
      </c>
      <c r="F43" s="322">
        <f>+F31+F20+F4+F5+F6+F7+F8+F9+F10+F11+F12+F13</f>
        <v>28736.239999999998</v>
      </c>
      <c r="G43" s="128">
        <f t="shared" ref="G43:Q43" si="69">+G31+G20+G4+G5+G6+G7+G8+G9+G10+G11+G12+G13</f>
        <v>967059.32840000023</v>
      </c>
      <c r="H43" s="128">
        <f t="shared" si="69"/>
        <v>82075</v>
      </c>
      <c r="I43" s="128">
        <f t="shared" si="69"/>
        <v>884986</v>
      </c>
      <c r="J43" s="128">
        <f t="shared" si="69"/>
        <v>967061</v>
      </c>
      <c r="K43" s="128">
        <f t="shared" si="69"/>
        <v>24624</v>
      </c>
      <c r="L43" s="128">
        <f t="shared" si="69"/>
        <v>246963</v>
      </c>
      <c r="M43" s="128">
        <f t="shared" si="69"/>
        <v>2987714</v>
      </c>
      <c r="N43" s="128">
        <f t="shared" si="69"/>
        <v>3234677</v>
      </c>
      <c r="O43" s="128">
        <f t="shared" si="69"/>
        <v>90419</v>
      </c>
      <c r="P43" s="128">
        <f t="shared" si="69"/>
        <v>76510</v>
      </c>
      <c r="Q43" s="322">
        <f t="shared" si="69"/>
        <v>3426230</v>
      </c>
      <c r="R43" s="323">
        <f t="shared" ref="R43:R44" si="70">+Q43/F43</f>
        <v>119.23028204107428</v>
      </c>
      <c r="S43" s="323">
        <f t="shared" ref="S43:S44" si="71">+N43/F43</f>
        <v>112.56437863826305</v>
      </c>
      <c r="T43" s="324">
        <f t="shared" ref="T43:T44" si="72">+L43/H43</f>
        <v>3.0089917758148035</v>
      </c>
      <c r="U43" s="324">
        <f t="shared" ref="U43" si="73">+M43/I43</f>
        <v>3.3760014282711817</v>
      </c>
      <c r="V43" s="323">
        <f t="shared" ref="V43:V44" si="74">+K43/F43</f>
        <v>0.85689707491307154</v>
      </c>
      <c r="W43" s="323">
        <f t="shared" ref="W43:W44" si="75">+(O43+P43)/F43</f>
        <v>5.8090063278981523</v>
      </c>
    </row>
    <row r="44" spans="1:23" ht="16.5" thickTop="1" thickBot="1" x14ac:dyDescent="0.3">
      <c r="A44" s="361" t="s">
        <v>6</v>
      </c>
      <c r="B44" s="362"/>
      <c r="C44" s="362"/>
      <c r="D44" s="363"/>
      <c r="E44" s="49">
        <f>+G44/F44</f>
        <v>33.652952801062362</v>
      </c>
      <c r="F44" s="40">
        <f t="shared" ref="F44:Q44" si="76">SUM(F43:F43)</f>
        <v>28736.239999999998</v>
      </c>
      <c r="G44" s="40">
        <f t="shared" si="76"/>
        <v>967059.32840000023</v>
      </c>
      <c r="H44" s="40">
        <f t="shared" si="76"/>
        <v>82075</v>
      </c>
      <c r="I44" s="40">
        <f t="shared" si="76"/>
        <v>884986</v>
      </c>
      <c r="J44" s="40">
        <f t="shared" si="76"/>
        <v>967061</v>
      </c>
      <c r="K44" s="40">
        <f t="shared" si="76"/>
        <v>24624</v>
      </c>
      <c r="L44" s="40">
        <f t="shared" si="76"/>
        <v>246963</v>
      </c>
      <c r="M44" s="40">
        <f t="shared" si="76"/>
        <v>2987714</v>
      </c>
      <c r="N44" s="40">
        <f t="shared" si="76"/>
        <v>3234677</v>
      </c>
      <c r="O44" s="40">
        <f t="shared" si="76"/>
        <v>90419</v>
      </c>
      <c r="P44" s="40">
        <f t="shared" si="76"/>
        <v>76510</v>
      </c>
      <c r="Q44" s="40">
        <f t="shared" si="76"/>
        <v>3426230</v>
      </c>
      <c r="R44" s="41">
        <f t="shared" si="70"/>
        <v>119.23028204107428</v>
      </c>
      <c r="S44" s="41">
        <f t="shared" si="71"/>
        <v>112.56437863826305</v>
      </c>
      <c r="T44" s="175">
        <f t="shared" si="72"/>
        <v>3.0089917758148035</v>
      </c>
      <c r="U44" s="175">
        <f t="shared" ref="U44" si="77">+M44/I44</f>
        <v>3.3760014282711817</v>
      </c>
      <c r="V44" s="41">
        <f t="shared" si="74"/>
        <v>0.85689707491307154</v>
      </c>
      <c r="W44" s="41">
        <f t="shared" si="75"/>
        <v>5.8090063278981523</v>
      </c>
    </row>
    <row r="45" spans="1:23" ht="15.75" thickTop="1" x14ac:dyDescent="0.25"/>
  </sheetData>
  <mergeCells count="42">
    <mergeCell ref="K41:Q41"/>
    <mergeCell ref="R41:W41"/>
    <mergeCell ref="A44:D44"/>
    <mergeCell ref="A41:A42"/>
    <mergeCell ref="B41:B42"/>
    <mergeCell ref="C41:D41"/>
    <mergeCell ref="E41:E42"/>
    <mergeCell ref="F41:J41"/>
    <mergeCell ref="A38:D38"/>
    <mergeCell ref="A32:D32"/>
    <mergeCell ref="B33:D33"/>
    <mergeCell ref="L33:M33"/>
    <mergeCell ref="O33:R33"/>
    <mergeCell ref="A35:A36"/>
    <mergeCell ref="B35:B36"/>
    <mergeCell ref="C35:D35"/>
    <mergeCell ref="E35:E36"/>
    <mergeCell ref="F35:J35"/>
    <mergeCell ref="K35:Q35"/>
    <mergeCell ref="R35:W35"/>
    <mergeCell ref="F2:J2"/>
    <mergeCell ref="A1:S1"/>
    <mergeCell ref="V1:W1"/>
    <mergeCell ref="A2:A3"/>
    <mergeCell ref="B2:B3"/>
    <mergeCell ref="C2:D2"/>
    <mergeCell ref="E2:E3"/>
    <mergeCell ref="K2:Q2"/>
    <mergeCell ref="R2:W2"/>
    <mergeCell ref="A15:D15"/>
    <mergeCell ref="B16:D16"/>
    <mergeCell ref="L16:M16"/>
    <mergeCell ref="O16:R16"/>
    <mergeCell ref="A4:A14"/>
    <mergeCell ref="A20:A31"/>
    <mergeCell ref="K18:Q18"/>
    <mergeCell ref="R18:W18"/>
    <mergeCell ref="A18:A19"/>
    <mergeCell ref="B18:B19"/>
    <mergeCell ref="C18:D18"/>
    <mergeCell ref="E18:E19"/>
    <mergeCell ref="F18:J18"/>
  </mergeCells>
  <pageMargins left="0.31496062992125984" right="0.31496062992125984" top="0.35433070866141736" bottom="0.35433070866141736" header="0.31496062992125984" footer="0.31496062992125984"/>
  <pageSetup paperSize="9" scale="54" fitToHeight="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topLeftCell="A4" workbookViewId="0">
      <selection activeCell="E14" sqref="E14:E25"/>
    </sheetView>
  </sheetViews>
  <sheetFormatPr defaultRowHeight="14.25" x14ac:dyDescent="0.2"/>
  <cols>
    <col min="1" max="1" width="8.7109375" style="25" customWidth="1"/>
    <col min="2" max="2" width="15.140625" style="25" customWidth="1"/>
    <col min="3" max="3" width="13.5703125" style="25" customWidth="1"/>
    <col min="4" max="4" width="15.5703125" style="25" customWidth="1"/>
    <col min="5" max="5" width="16.140625" style="25" customWidth="1"/>
    <col min="6" max="6" width="14.85546875" style="25" customWidth="1"/>
    <col min="7" max="7" width="19.140625" style="25" customWidth="1"/>
    <col min="8" max="8" width="11.5703125" style="25" customWidth="1"/>
    <col min="9" max="9" width="13.5703125" style="25" customWidth="1"/>
    <col min="10" max="10" width="11.140625" style="25" customWidth="1"/>
    <col min="11" max="11" width="12.85546875" style="25" customWidth="1"/>
    <col min="12" max="12" width="12.5703125" style="25" customWidth="1"/>
    <col min="13" max="13" width="11.42578125" style="25" customWidth="1"/>
    <col min="14" max="14" width="11" style="25" customWidth="1"/>
    <col min="15" max="15" width="9.7109375" style="25" customWidth="1"/>
    <col min="16" max="16" width="9.140625" style="25"/>
    <col min="17" max="17" width="10.7109375" style="25" bestFit="1" customWidth="1"/>
    <col min="18" max="16384" width="9.140625" style="25"/>
  </cols>
  <sheetData>
    <row r="1" spans="1:15" ht="41.25" customHeight="1" thickBot="1" x14ac:dyDescent="0.25">
      <c r="A1" s="356" t="s">
        <v>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 t="s">
        <v>70</v>
      </c>
      <c r="O1" s="356"/>
    </row>
    <row r="2" spans="1:15" ht="42.75" customHeight="1" thickTop="1" thickBot="1" x14ac:dyDescent="0.25">
      <c r="A2" s="364" t="s">
        <v>64</v>
      </c>
      <c r="B2" s="366" t="s">
        <v>327</v>
      </c>
      <c r="C2" s="360" t="s">
        <v>5</v>
      </c>
      <c r="D2" s="360"/>
      <c r="E2" s="360" t="s">
        <v>2</v>
      </c>
      <c r="F2" s="360"/>
      <c r="G2" s="357" t="s">
        <v>308</v>
      </c>
      <c r="H2" s="358"/>
      <c r="I2" s="358"/>
      <c r="J2" s="358"/>
      <c r="K2" s="358"/>
      <c r="L2" s="357" t="s">
        <v>66</v>
      </c>
      <c r="M2" s="358"/>
      <c r="N2" s="358"/>
      <c r="O2" s="359"/>
    </row>
    <row r="3" spans="1:15" ht="76.5" customHeight="1" thickTop="1" thickBot="1" x14ac:dyDescent="0.25">
      <c r="A3" s="365"/>
      <c r="B3" s="367"/>
      <c r="C3" s="60" t="s">
        <v>3</v>
      </c>
      <c r="D3" s="60" t="s">
        <v>4</v>
      </c>
      <c r="E3" s="60" t="s">
        <v>306</v>
      </c>
      <c r="F3" s="60" t="s">
        <v>307</v>
      </c>
      <c r="G3" s="60" t="s">
        <v>305</v>
      </c>
      <c r="H3" s="60" t="s">
        <v>16</v>
      </c>
      <c r="I3" s="59" t="s">
        <v>69</v>
      </c>
      <c r="J3" s="59" t="s">
        <v>26</v>
      </c>
      <c r="K3" s="59" t="s">
        <v>19</v>
      </c>
      <c r="L3" s="61" t="s">
        <v>6</v>
      </c>
      <c r="M3" s="61" t="s">
        <v>21</v>
      </c>
      <c r="N3" s="61" t="s">
        <v>20</v>
      </c>
      <c r="O3" s="61" t="s">
        <v>27</v>
      </c>
    </row>
    <row r="4" spans="1:15" ht="37.5" customHeight="1" thickTop="1" x14ac:dyDescent="0.2">
      <c r="A4" s="368" t="s">
        <v>83</v>
      </c>
      <c r="B4" s="208" t="s">
        <v>328</v>
      </c>
      <c r="C4" s="184">
        <v>44197</v>
      </c>
      <c r="D4" s="184">
        <v>44561</v>
      </c>
      <c r="E4" s="204">
        <f>+'Földgáz Baja 20 alatti'!F64</f>
        <v>10848.36</v>
      </c>
      <c r="F4" s="163">
        <f>+'Földgáz Baja 20 alatti'!G64</f>
        <v>365100.26560000004</v>
      </c>
      <c r="G4" s="86">
        <f>+'Földgáz Baja 20 alatti'!K64</f>
        <v>48222</v>
      </c>
      <c r="H4" s="79">
        <f>+'Földgáz Baja 20 alatti'!N64</f>
        <v>1191145</v>
      </c>
      <c r="I4" s="79">
        <f>+'Földgáz Baja 20 alatti'!O64</f>
        <v>34137</v>
      </c>
      <c r="J4" s="79">
        <f>+'Földgáz Baja 20 alatti'!P64</f>
        <v>28886</v>
      </c>
      <c r="K4" s="204">
        <f>+J4+I4+H4+G4</f>
        <v>1302390</v>
      </c>
      <c r="L4" s="93">
        <f>+K4/E4</f>
        <v>120.05409112529451</v>
      </c>
      <c r="M4" s="93">
        <f>+H4/E4</f>
        <v>109.79954573778893</v>
      </c>
      <c r="N4" s="93">
        <f>+G4/E4</f>
        <v>4.4450958485890952</v>
      </c>
      <c r="O4" s="93">
        <f>+(J4+I4)/E4</f>
        <v>5.8094495389164811</v>
      </c>
    </row>
    <row r="5" spans="1:15" ht="39.75" customHeight="1" thickBot="1" x14ac:dyDescent="0.25">
      <c r="A5" s="369"/>
      <c r="B5" s="209" t="s">
        <v>329</v>
      </c>
      <c r="C5" s="88">
        <v>44197</v>
      </c>
      <c r="D5" s="88">
        <v>44561</v>
      </c>
      <c r="E5" s="205">
        <f>+'Földgáz Baja 20 feletti'!F73</f>
        <v>227204.01799999998</v>
      </c>
      <c r="F5" s="202">
        <f>+'Földgáz Baja 20 feletti'!G73</f>
        <v>7685280.2840476641</v>
      </c>
      <c r="G5" s="185">
        <f>+'Földgáz Baja 20 feletti'!H73+'Földgáz Baja 20 feletti'!I73</f>
        <v>5067591</v>
      </c>
      <c r="H5" s="185">
        <f>+'Földgáz Baja 20 feletti'!J73</f>
        <v>23539352</v>
      </c>
      <c r="I5" s="185">
        <f>+'Földgáz Baja 20 feletti'!K73</f>
        <v>896541</v>
      </c>
      <c r="J5" s="185">
        <f>+'Földgáz Baja 20 feletti'!L73</f>
        <v>607717</v>
      </c>
      <c r="K5" s="205">
        <f t="shared" ref="K5:K8" si="0">+J5+I5+H5+G5</f>
        <v>30111201</v>
      </c>
      <c r="L5" s="186">
        <f t="shared" ref="L5:L8" si="1">+K5/E5</f>
        <v>132.52935077935109</v>
      </c>
      <c r="M5" s="186">
        <f t="shared" ref="M5:M8" si="2">+H5/E5</f>
        <v>103.60447058643128</v>
      </c>
      <c r="N5" s="186">
        <f t="shared" ref="N5:N8" si="3">+G5/E5</f>
        <v>22.304143406477962</v>
      </c>
      <c r="O5" s="186">
        <f t="shared" ref="O5:O8" si="4">+(J5+I5)/E5</f>
        <v>6.6207367864418671</v>
      </c>
    </row>
    <row r="6" spans="1:15" ht="36" customHeight="1" thickTop="1" x14ac:dyDescent="0.2">
      <c r="A6" s="369"/>
      <c r="B6" s="210" t="s">
        <v>330</v>
      </c>
      <c r="C6" s="182">
        <v>44197</v>
      </c>
      <c r="D6" s="182">
        <v>44561</v>
      </c>
      <c r="E6" s="206">
        <f>+'Földgáz Kalocsa 20 alatti'!F38</f>
        <v>28736.239999999998</v>
      </c>
      <c r="F6" s="203">
        <f>+'Földgáz Kalocsa 20 alatti'!G38</f>
        <v>967059.3284</v>
      </c>
      <c r="G6" s="178">
        <f>+'Földgáz Kalocsa 20 alatti'!K38</f>
        <v>24624</v>
      </c>
      <c r="H6" s="178">
        <f>+'Földgáz Kalocsa 20 alatti'!N38</f>
        <v>3234677</v>
      </c>
      <c r="I6" s="178">
        <f>+'Földgáz Kalocsa 20 alatti'!O38</f>
        <v>90419</v>
      </c>
      <c r="J6" s="178">
        <f>+'Földgáz Kalocsa 20 alatti'!P38</f>
        <v>76510</v>
      </c>
      <c r="K6" s="206">
        <f t="shared" si="0"/>
        <v>3426230</v>
      </c>
      <c r="L6" s="183">
        <f t="shared" si="1"/>
        <v>119.23028204107428</v>
      </c>
      <c r="M6" s="183">
        <f t="shared" si="2"/>
        <v>112.56437863826305</v>
      </c>
      <c r="N6" s="183">
        <f t="shared" si="3"/>
        <v>0.85689707491307154</v>
      </c>
      <c r="O6" s="183">
        <f t="shared" si="4"/>
        <v>5.8090063278981523</v>
      </c>
    </row>
    <row r="7" spans="1:15" ht="42" customHeight="1" thickBot="1" x14ac:dyDescent="0.25">
      <c r="A7" s="369"/>
      <c r="B7" s="211" t="s">
        <v>331</v>
      </c>
      <c r="C7" s="95">
        <v>44197</v>
      </c>
      <c r="D7" s="95">
        <v>44561</v>
      </c>
      <c r="E7" s="207">
        <f>+'Földgáz Kalocsa 20 feletti'!F90</f>
        <v>172953.0307107878</v>
      </c>
      <c r="F7" s="180">
        <f>+'Földgáz Kalocsa 20 feletti'!G90</f>
        <v>5852722.5929416222</v>
      </c>
      <c r="G7" s="86">
        <f>+'Földgáz Kalocsa 20 feletti'!H90+'Földgáz Kalocsa 20 feletti'!I90</f>
        <v>4858114</v>
      </c>
      <c r="H7" s="86">
        <f>+'Földgáz Kalocsa 20 feletti'!J90</f>
        <v>17322671</v>
      </c>
      <c r="I7" s="86">
        <f>+'Földgáz Kalocsa 20 feletti'!K90</f>
        <v>675040</v>
      </c>
      <c r="J7" s="86">
        <f>+'Földgáz Kalocsa 20 feletti'!L90</f>
        <v>462828</v>
      </c>
      <c r="K7" s="207">
        <f t="shared" si="0"/>
        <v>23318653</v>
      </c>
      <c r="L7" s="87">
        <f t="shared" si="1"/>
        <v>134.82650696646922</v>
      </c>
      <c r="M7" s="87">
        <f t="shared" si="2"/>
        <v>100.15823908265004</v>
      </c>
      <c r="N7" s="87">
        <f t="shared" si="3"/>
        <v>28.089210001319618</v>
      </c>
      <c r="O7" s="87">
        <f t="shared" si="4"/>
        <v>6.5790578824995771</v>
      </c>
    </row>
    <row r="8" spans="1:15" ht="27" customHeight="1" thickTop="1" thickBot="1" x14ac:dyDescent="0.25">
      <c r="A8" s="361" t="s">
        <v>83</v>
      </c>
      <c r="B8" s="362"/>
      <c r="C8" s="362"/>
      <c r="D8" s="363"/>
      <c r="E8" s="40">
        <f t="shared" ref="E8:J8" si="5">SUM(E4:E7)</f>
        <v>439741.64871078776</v>
      </c>
      <c r="F8" s="40">
        <f t="shared" si="5"/>
        <v>14870162.470989287</v>
      </c>
      <c r="G8" s="40">
        <f t="shared" si="5"/>
        <v>9998551</v>
      </c>
      <c r="H8" s="40">
        <f t="shared" si="5"/>
        <v>45287845</v>
      </c>
      <c r="I8" s="40">
        <f t="shared" si="5"/>
        <v>1696137</v>
      </c>
      <c r="J8" s="40">
        <f t="shared" si="5"/>
        <v>1175941</v>
      </c>
      <c r="K8" s="40">
        <f t="shared" si="0"/>
        <v>58158474</v>
      </c>
      <c r="L8" s="41">
        <f t="shared" si="1"/>
        <v>132.25600570358995</v>
      </c>
      <c r="M8" s="41">
        <f t="shared" si="2"/>
        <v>102.9873907390228</v>
      </c>
      <c r="N8" s="41">
        <f t="shared" si="3"/>
        <v>22.737330042112781</v>
      </c>
      <c r="O8" s="41">
        <f t="shared" si="4"/>
        <v>6.5312849224543834</v>
      </c>
    </row>
    <row r="9" spans="1:15" ht="15" thickTop="1" x14ac:dyDescent="0.2"/>
    <row r="10" spans="1:15" x14ac:dyDescent="0.2">
      <c r="A10" s="25" t="s">
        <v>332</v>
      </c>
    </row>
    <row r="11" spans="1:15" ht="15" thickBot="1" x14ac:dyDescent="0.25"/>
    <row r="12" spans="1:15" ht="30.75" customHeight="1" thickTop="1" thickBot="1" x14ac:dyDescent="0.25">
      <c r="A12" s="376" t="s">
        <v>64</v>
      </c>
      <c r="B12" s="375" t="s">
        <v>5</v>
      </c>
      <c r="C12" s="375"/>
      <c r="D12" s="376" t="s">
        <v>342</v>
      </c>
      <c r="E12" s="376" t="s">
        <v>341</v>
      </c>
      <c r="F12" s="376" t="s">
        <v>66</v>
      </c>
    </row>
    <row r="13" spans="1:15" ht="16.5" thickTop="1" thickBot="1" x14ac:dyDescent="0.25">
      <c r="A13" s="377"/>
      <c r="B13" s="220" t="s">
        <v>3</v>
      </c>
      <c r="C13" s="220" t="s">
        <v>4</v>
      </c>
      <c r="D13" s="377"/>
      <c r="E13" s="377"/>
      <c r="F13" s="377"/>
    </row>
    <row r="14" spans="1:15" ht="15" thickTop="1" x14ac:dyDescent="0.2">
      <c r="A14" s="368" t="s">
        <v>385</v>
      </c>
      <c r="B14" s="30">
        <v>44197</v>
      </c>
      <c r="C14" s="30">
        <v>44227</v>
      </c>
      <c r="D14" s="223">
        <f>+'Földgáz Baja 20 feletti'!F78+'Földgáz Kalocsa 20 feletti'!F95+'Földgáz SZC Összesen'!E4/12+'Földgáz SZC Összesen'!E6/12</f>
        <v>87975.893862238052</v>
      </c>
      <c r="E14" s="223">
        <f>+'Földgáz Baja 20 feletti'!M78+'Földgáz Kalocsa 20 feletti'!M95+'Földgáz SZC Összesen'!K4/12+'Földgáz SZC Összesen'!K6/12</f>
        <v>6283364.666666667</v>
      </c>
      <c r="F14" s="32">
        <f>+E14/D14</f>
        <v>71.421435927730641</v>
      </c>
    </row>
    <row r="15" spans="1:15" x14ac:dyDescent="0.2">
      <c r="A15" s="369"/>
      <c r="B15" s="34">
        <v>44228</v>
      </c>
      <c r="C15" s="34">
        <v>44255</v>
      </c>
      <c r="D15" s="224">
        <f>+'Földgáz Baja 20 feletti'!F79+'Földgáz Kalocsa 20 feletti'!F96+E4/12+E6/12</f>
        <v>65053.505157298809</v>
      </c>
      <c r="E15" s="224">
        <f>+'Földgáz Baja 20 feletti'!M79+'Földgáz Kalocsa 20 feletti'!M96+K4/12+K6/12</f>
        <v>4870346.666666667</v>
      </c>
      <c r="F15" s="36">
        <f t="shared" ref="F15:F26" si="6">+E15/D15</f>
        <v>74.866783194698129</v>
      </c>
    </row>
    <row r="16" spans="1:15" x14ac:dyDescent="0.2">
      <c r="A16" s="369"/>
      <c r="B16" s="34">
        <v>44256</v>
      </c>
      <c r="C16" s="34">
        <v>44286</v>
      </c>
      <c r="D16" s="224">
        <f>+'Földgáz Baja 20 feletti'!F80+'Földgáz Kalocsa 20 feletti'!F97+E4/12+E6/12</f>
        <v>40137.508200259632</v>
      </c>
      <c r="E16" s="224">
        <f>+'Földgáz Baja 20 feletti'!M80+'Földgáz Kalocsa 20 feletti'!M97+K4/12+K6/12</f>
        <v>3368057.6666666665</v>
      </c>
      <c r="F16" s="36">
        <f t="shared" si="6"/>
        <v>83.91297361715344</v>
      </c>
    </row>
    <row r="17" spans="1:6" x14ac:dyDescent="0.2">
      <c r="A17" s="369"/>
      <c r="B17" s="34">
        <v>44287</v>
      </c>
      <c r="C17" s="34">
        <v>44316</v>
      </c>
      <c r="D17" s="224">
        <f>+'Földgáz Baja 20 feletti'!F81+'Földgáz Kalocsa 20 feletti'!F98+E4/12+E6/12</f>
        <v>28577.886978350514</v>
      </c>
      <c r="E17" s="224">
        <f>+'Földgáz Baja 20 feletti'!M81+'Földgáz Kalocsa 20 feletti'!M98+K4/12+K6/12</f>
        <v>2666286.6666666665</v>
      </c>
      <c r="F17" s="36">
        <f t="shared" si="6"/>
        <v>93.298943644312843</v>
      </c>
    </row>
    <row r="18" spans="1:6" x14ac:dyDescent="0.2">
      <c r="A18" s="369"/>
      <c r="B18" s="34">
        <v>44317</v>
      </c>
      <c r="C18" s="34">
        <v>44347</v>
      </c>
      <c r="D18" s="224">
        <f>+'Földgáz Baja 20 feletti'!F82+'Földgáz Kalocsa 20 feletti'!F99+E4/12+E6/12</f>
        <v>13874.46812226267</v>
      </c>
      <c r="E18" s="224">
        <f>+'Földgáz Baja 20 feletti'!M82+'Földgáz Kalocsa 20 feletti'!M99+K4/12+K6/12</f>
        <v>1792399.6666666667</v>
      </c>
      <c r="F18" s="36">
        <f t="shared" si="6"/>
        <v>129.18691014833362</v>
      </c>
    </row>
    <row r="19" spans="1:6" x14ac:dyDescent="0.2">
      <c r="A19" s="369"/>
      <c r="B19" s="34">
        <v>44348</v>
      </c>
      <c r="C19" s="34">
        <v>44377</v>
      </c>
      <c r="D19" s="224">
        <f>+'Földgáz Baja 20 feletti'!F83+'Földgáz Kalocsa 20 feletti'!F100+E4/12+E6/12</f>
        <v>5555.8756666666668</v>
      </c>
      <c r="E19" s="224">
        <f>+'Földgáz Baja 20 feletti'!M83+'Földgáz Kalocsa 20 feletti'!M100+K4/12+K6/12</f>
        <v>1296779.6666666667</v>
      </c>
      <c r="F19" s="36">
        <f t="shared" si="6"/>
        <v>233.40689109493511</v>
      </c>
    </row>
    <row r="20" spans="1:6" x14ac:dyDescent="0.2">
      <c r="A20" s="369"/>
      <c r="B20" s="34">
        <v>44378</v>
      </c>
      <c r="C20" s="34">
        <v>44408</v>
      </c>
      <c r="D20" s="224">
        <f>+'Földgáz Baja 20 feletti'!F84+'Földgáz Kalocsa 20 feletti'!F101+E4/12+E6/12</f>
        <v>4677.4886666666662</v>
      </c>
      <c r="E20" s="224">
        <f>+'Földgáz Baja 20 feletti'!M84+'Földgáz Kalocsa 20 feletti'!M101+K4/12+K6/12</f>
        <v>1244535.6666666667</v>
      </c>
      <c r="F20" s="36">
        <f t="shared" si="6"/>
        <v>266.06919981135178</v>
      </c>
    </row>
    <row r="21" spans="1:6" x14ac:dyDescent="0.2">
      <c r="A21" s="369"/>
      <c r="B21" s="34">
        <v>44409</v>
      </c>
      <c r="C21" s="34">
        <v>44439</v>
      </c>
      <c r="D21" s="224">
        <f>+'Földgáz Baja 20 feletti'!F85+'Földgáz Kalocsa 20 feletti'!F102+E4/12+E6/12</f>
        <v>4698.8346666666666</v>
      </c>
      <c r="E21" s="224">
        <f>+'Földgáz Baja 20 feletti'!M85+'Földgáz Kalocsa 20 feletti'!M102+K4/12+K6/12</f>
        <v>1245612.6666666667</v>
      </c>
      <c r="F21" s="36">
        <f t="shared" si="6"/>
        <v>265.08969883596671</v>
      </c>
    </row>
    <row r="22" spans="1:6" x14ac:dyDescent="0.2">
      <c r="A22" s="369"/>
      <c r="B22" s="34">
        <v>44440</v>
      </c>
      <c r="C22" s="34">
        <v>44469</v>
      </c>
      <c r="D22" s="224">
        <f>+'Földgáz Baja 20 feletti'!F86+'Földgáz Kalocsa 20 feletti'!F103+E4/12+E6/12</f>
        <v>5911.278666666667</v>
      </c>
      <c r="E22" s="224">
        <f>+'Földgáz Baja 20 feletti'!M86+'Földgáz Kalocsa 20 feletti'!M103+K4/12+K6/12</f>
        <v>1317238.6666666667</v>
      </c>
      <c r="F22" s="36">
        <f t="shared" si="6"/>
        <v>222.83481137414375</v>
      </c>
    </row>
    <row r="23" spans="1:6" x14ac:dyDescent="0.2">
      <c r="A23" s="369"/>
      <c r="B23" s="34">
        <v>44470</v>
      </c>
      <c r="C23" s="34">
        <v>44500</v>
      </c>
      <c r="D23" s="224">
        <f>+'Földgáz Baja 20 feletti'!F87+'Földgáz Kalocsa 20 feletti'!F104+E4/12+E6/12</f>
        <v>36345.716666666667</v>
      </c>
      <c r="E23" s="224">
        <f>+'Földgáz Baja 20 feletti'!M87+'Földgáz Kalocsa 20 feletti'!M104+K4/12+K6/12</f>
        <v>6972129.666666667</v>
      </c>
      <c r="F23" s="36">
        <f t="shared" si="6"/>
        <v>191.8280971210271</v>
      </c>
    </row>
    <row r="24" spans="1:6" x14ac:dyDescent="0.2">
      <c r="A24" s="369"/>
      <c r="B24" s="34">
        <v>44501</v>
      </c>
      <c r="C24" s="34">
        <v>44530</v>
      </c>
      <c r="D24" s="224">
        <f>+'Földgáz Baja 20 feletti'!F88+'Földgáz Kalocsa 20 feletti'!F105+E4/12+E6/12</f>
        <v>67873.71666666666</v>
      </c>
      <c r="E24" s="224">
        <f>+'Földgáz Baja 20 feletti'!M88+'Földgáz Kalocsa 20 feletti'!M105+K4/12+K6/12</f>
        <v>12480267.666666666</v>
      </c>
      <c r="F24" s="36">
        <f t="shared" si="6"/>
        <v>183.8748234159369</v>
      </c>
    </row>
    <row r="25" spans="1:6" ht="15" thickBot="1" x14ac:dyDescent="0.25">
      <c r="A25" s="369"/>
      <c r="B25" s="34">
        <v>44531</v>
      </c>
      <c r="C25" s="34">
        <v>44561</v>
      </c>
      <c r="D25" s="224">
        <f>+'Földgáz Baja 20 feletti'!F89+'Földgáz Kalocsa 20 feletti'!F106+E4/12+E6/12</f>
        <v>79059.475390378138</v>
      </c>
      <c r="E25" s="224">
        <f>+'Földgáz Baja 20 feletti'!M89+'Földgáz Kalocsa 20 feletti'!M106+K4/12+K6/12</f>
        <v>14621454.666666666</v>
      </c>
      <c r="F25" s="36">
        <f t="shared" si="6"/>
        <v>184.94247013996954</v>
      </c>
    </row>
    <row r="26" spans="1:6" ht="16.5" customHeight="1" thickTop="1" thickBot="1" x14ac:dyDescent="0.25">
      <c r="A26" s="361" t="s">
        <v>336</v>
      </c>
      <c r="B26" s="362"/>
      <c r="C26" s="363"/>
      <c r="D26" s="40">
        <f>SUM(D14:D25)</f>
        <v>439741.64871078788</v>
      </c>
      <c r="E26" s="40">
        <f>SUM(E14:E25)</f>
        <v>58158474.000000007</v>
      </c>
      <c r="F26" s="41">
        <f t="shared" si="6"/>
        <v>132.25600570358995</v>
      </c>
    </row>
    <row r="27" spans="1:6" ht="15" thickTop="1" x14ac:dyDescent="0.2"/>
  </sheetData>
  <mergeCells count="17">
    <mergeCell ref="A14:A25"/>
    <mergeCell ref="E12:E13"/>
    <mergeCell ref="F12:F13"/>
    <mergeCell ref="A26:C26"/>
    <mergeCell ref="A12:A13"/>
    <mergeCell ref="B12:C12"/>
    <mergeCell ref="D12:D13"/>
    <mergeCell ref="A4:A7"/>
    <mergeCell ref="A8:D8"/>
    <mergeCell ref="A1:M1"/>
    <mergeCell ref="N1:O1"/>
    <mergeCell ref="A2:A3"/>
    <mergeCell ref="B2:B3"/>
    <mergeCell ref="C2:D2"/>
    <mergeCell ref="E2:F2"/>
    <mergeCell ref="G2:K2"/>
    <mergeCell ref="L2:O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3" orientation="landscape" horizontalDpi="0" verticalDpi="0" r:id="rId1"/>
  <headerFooter>
    <oddFooter>&amp;LGombkötő Ervin János
energetikai szakreferens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6"/>
  <sheetViews>
    <sheetView topLeftCell="A13" workbookViewId="0">
      <selection activeCell="J62" sqref="J62"/>
    </sheetView>
  </sheetViews>
  <sheetFormatPr defaultRowHeight="14.25" x14ac:dyDescent="0.2"/>
  <cols>
    <col min="1" max="1" width="8" style="25" customWidth="1"/>
    <col min="2" max="2" width="6.42578125" style="25" customWidth="1"/>
    <col min="3" max="3" width="12.42578125" style="25" customWidth="1"/>
    <col min="4" max="4" width="12" style="25" customWidth="1"/>
    <col min="5" max="5" width="12.140625" style="25" customWidth="1"/>
    <col min="6" max="6" width="13.28515625" style="25" customWidth="1"/>
    <col min="7" max="7" width="15" style="25" customWidth="1"/>
    <col min="8" max="8" width="10" style="25" customWidth="1"/>
    <col min="9" max="9" width="9.5703125" style="25" customWidth="1"/>
    <col min="10" max="10" width="11.28515625" style="25" customWidth="1"/>
    <col min="11" max="11" width="11.7109375" style="25" customWidth="1"/>
    <col min="12" max="12" width="15" style="25" customWidth="1"/>
    <col min="13" max="13" width="11.5703125" style="25" customWidth="1"/>
    <col min="14" max="14" width="13" style="25" customWidth="1"/>
    <col min="15" max="15" width="13.7109375" style="25" customWidth="1"/>
    <col min="16" max="16" width="10" style="25" customWidth="1"/>
    <col min="17" max="17" width="11.5703125" style="25" customWidth="1"/>
    <col min="18" max="18" width="12" style="25" customWidth="1"/>
    <col min="19" max="19" width="8.28515625" style="25" customWidth="1"/>
    <col min="20" max="20" width="10" style="25" customWidth="1"/>
    <col min="21" max="21" width="8.28515625" style="25" customWidth="1"/>
    <col min="22" max="22" width="7.85546875" style="25" customWidth="1"/>
    <col min="23" max="23" width="10" style="25" customWidth="1"/>
    <col min="24" max="24" width="11.5703125" style="25" customWidth="1"/>
    <col min="25" max="16384" width="9.140625" style="25"/>
  </cols>
  <sheetData>
    <row r="1" spans="1:23" ht="24.75" customHeight="1" thickBot="1" x14ac:dyDescent="0.25">
      <c r="A1" s="356" t="s">
        <v>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 t="s">
        <v>78</v>
      </c>
      <c r="W1" s="356"/>
    </row>
    <row r="2" spans="1:23" ht="53.25" customHeight="1" thickTop="1" thickBot="1" x14ac:dyDescent="0.25">
      <c r="A2" s="384" t="s">
        <v>64</v>
      </c>
      <c r="B2" s="364" t="s">
        <v>0</v>
      </c>
      <c r="C2" s="360" t="s">
        <v>5</v>
      </c>
      <c r="D2" s="360"/>
      <c r="E2" s="360" t="s">
        <v>29</v>
      </c>
      <c r="F2" s="360" t="s">
        <v>30</v>
      </c>
      <c r="G2" s="364" t="s">
        <v>7</v>
      </c>
      <c r="H2" s="357" t="s">
        <v>8</v>
      </c>
      <c r="I2" s="358"/>
      <c r="J2" s="359"/>
      <c r="K2" s="357" t="s">
        <v>11</v>
      </c>
      <c r="L2" s="358"/>
      <c r="M2" s="358"/>
      <c r="N2" s="358"/>
      <c r="O2" s="358"/>
      <c r="P2" s="358"/>
      <c r="Q2" s="359"/>
      <c r="R2" s="357" t="s">
        <v>31</v>
      </c>
      <c r="S2" s="358"/>
      <c r="T2" s="358"/>
      <c r="U2" s="358"/>
      <c r="V2" s="358"/>
      <c r="W2" s="359"/>
    </row>
    <row r="3" spans="1:23" ht="105" customHeight="1" thickTop="1" thickBot="1" x14ac:dyDescent="0.25">
      <c r="A3" s="385"/>
      <c r="B3" s="365"/>
      <c r="C3" s="26" t="s">
        <v>3</v>
      </c>
      <c r="D3" s="26" t="s">
        <v>4</v>
      </c>
      <c r="E3" s="360"/>
      <c r="F3" s="360"/>
      <c r="G3" s="365"/>
      <c r="H3" s="26" t="s">
        <v>17</v>
      </c>
      <c r="I3" s="26" t="s">
        <v>89</v>
      </c>
      <c r="J3" s="26" t="s">
        <v>6</v>
      </c>
      <c r="K3" s="26" t="s">
        <v>9</v>
      </c>
      <c r="L3" s="26" t="s">
        <v>10</v>
      </c>
      <c r="M3" s="26" t="s">
        <v>12</v>
      </c>
      <c r="N3" s="26" t="s">
        <v>24</v>
      </c>
      <c r="O3" s="26" t="s">
        <v>25</v>
      </c>
      <c r="P3" s="26" t="s">
        <v>436</v>
      </c>
      <c r="Q3" s="26" t="s">
        <v>23</v>
      </c>
      <c r="R3" s="28" t="s">
        <v>6</v>
      </c>
      <c r="S3" s="28" t="s">
        <v>22</v>
      </c>
      <c r="T3" s="28" t="s">
        <v>20</v>
      </c>
      <c r="U3" s="28" t="s">
        <v>32</v>
      </c>
      <c r="V3" s="28" t="s">
        <v>33</v>
      </c>
      <c r="W3" s="294" t="s">
        <v>386</v>
      </c>
    </row>
    <row r="4" spans="1:23" ht="15" customHeight="1" thickTop="1" x14ac:dyDescent="0.2">
      <c r="A4" s="368" t="s">
        <v>85</v>
      </c>
      <c r="B4" s="29">
        <v>1</v>
      </c>
      <c r="C4" s="388" t="s">
        <v>406</v>
      </c>
      <c r="D4" s="389"/>
      <c r="E4" s="31">
        <v>62</v>
      </c>
      <c r="F4" s="31">
        <v>20</v>
      </c>
      <c r="G4" s="146">
        <v>7234</v>
      </c>
      <c r="H4" s="31">
        <v>0</v>
      </c>
      <c r="I4" s="31">
        <v>0</v>
      </c>
      <c r="J4" s="31">
        <f>+I4+H4</f>
        <v>0</v>
      </c>
      <c r="K4" s="31">
        <v>149020</v>
      </c>
      <c r="L4" s="31">
        <f>65540+2959+43648</f>
        <v>112147</v>
      </c>
      <c r="M4" s="31">
        <v>0</v>
      </c>
      <c r="N4" s="31">
        <f>5860+579</f>
        <v>6439</v>
      </c>
      <c r="O4" s="31">
        <v>10706</v>
      </c>
      <c r="P4" s="31">
        <v>2246</v>
      </c>
      <c r="Q4" s="146">
        <f>+P4+O4+N4+M4+L4+K4</f>
        <v>280558</v>
      </c>
      <c r="R4" s="32">
        <f>+Q4/G4</f>
        <v>38.783245783798726</v>
      </c>
      <c r="S4" s="32">
        <f>+K4/G4</f>
        <v>20.599944705557093</v>
      </c>
      <c r="T4" s="32">
        <f>+L4/G4</f>
        <v>15.502764722145425</v>
      </c>
      <c r="U4" s="32">
        <f>+N4/G4</f>
        <v>0.89010229471938074</v>
      </c>
      <c r="V4" s="32">
        <f>+O4/G4</f>
        <v>1.4799557644456731</v>
      </c>
      <c r="W4" s="32">
        <f>+P4/G4</f>
        <v>0.31047829693115842</v>
      </c>
    </row>
    <row r="5" spans="1:23" x14ac:dyDescent="0.2">
      <c r="A5" s="369"/>
      <c r="B5" s="33">
        <v>2</v>
      </c>
      <c r="C5" s="390" t="s">
        <v>411</v>
      </c>
      <c r="D5" s="391"/>
      <c r="E5" s="35">
        <v>62</v>
      </c>
      <c r="F5" s="35">
        <v>20</v>
      </c>
      <c r="G5" s="147">
        <v>6816</v>
      </c>
      <c r="H5" s="35">
        <v>1830</v>
      </c>
      <c r="I5" s="35">
        <v>0</v>
      </c>
      <c r="J5" s="35">
        <f t="shared" ref="J5:J15" si="0">+I5+H5</f>
        <v>1830</v>
      </c>
      <c r="K5" s="35">
        <v>140410</v>
      </c>
      <c r="L5" s="35">
        <f>61753+2959+43648</f>
        <v>108360</v>
      </c>
      <c r="M5" s="35">
        <v>6991</v>
      </c>
      <c r="N5" s="35">
        <f>5521+545</f>
        <v>6066</v>
      </c>
      <c r="O5" s="35">
        <v>15949</v>
      </c>
      <c r="P5" s="35">
        <v>2116</v>
      </c>
      <c r="Q5" s="147">
        <f t="shared" ref="Q5:Q15" si="1">+P5+O5+N5+M5+L5+K5</f>
        <v>279892</v>
      </c>
      <c r="R5" s="36">
        <f t="shared" ref="R5:R16" si="2">+Q5/G5</f>
        <v>41.063967136150232</v>
      </c>
      <c r="S5" s="36">
        <f t="shared" ref="S5:S16" si="3">+K5/G5</f>
        <v>20.600058685446008</v>
      </c>
      <c r="T5" s="36">
        <f t="shared" ref="T5:T16" si="4">+L5/G5</f>
        <v>15.897887323943662</v>
      </c>
      <c r="U5" s="36">
        <f t="shared" ref="U5:U16" si="5">+N5/G5</f>
        <v>0.88996478873239437</v>
      </c>
      <c r="V5" s="36">
        <f t="shared" ref="V5:V16" si="6">+O5/G5</f>
        <v>2.3399354460093895</v>
      </c>
      <c r="W5" s="36">
        <f t="shared" ref="W5:W16" si="7">+P5/G5</f>
        <v>0.31044600938967137</v>
      </c>
    </row>
    <row r="6" spans="1:23" x14ac:dyDescent="0.2">
      <c r="A6" s="369"/>
      <c r="B6" s="33">
        <v>3</v>
      </c>
      <c r="C6" s="390" t="s">
        <v>412</v>
      </c>
      <c r="D6" s="391"/>
      <c r="E6" s="35">
        <v>62</v>
      </c>
      <c r="F6" s="35">
        <v>16</v>
      </c>
      <c r="G6" s="147">
        <v>6850</v>
      </c>
      <c r="H6" s="35">
        <v>1677</v>
      </c>
      <c r="I6" s="35">
        <v>0</v>
      </c>
      <c r="J6" s="35">
        <f t="shared" si="0"/>
        <v>1677</v>
      </c>
      <c r="K6" s="35">
        <v>141110</v>
      </c>
      <c r="L6" s="35">
        <f>62061+2959+43648</f>
        <v>108668</v>
      </c>
      <c r="M6" s="35">
        <v>6406</v>
      </c>
      <c r="N6" s="35">
        <f>5549+548</f>
        <v>6097</v>
      </c>
      <c r="O6" s="35">
        <v>20824</v>
      </c>
      <c r="P6" s="35">
        <v>2127</v>
      </c>
      <c r="Q6" s="147">
        <f t="shared" si="1"/>
        <v>285232</v>
      </c>
      <c r="R6" s="36">
        <f t="shared" si="2"/>
        <v>41.639708029197081</v>
      </c>
      <c r="S6" s="36">
        <f t="shared" si="3"/>
        <v>20.6</v>
      </c>
      <c r="T6" s="36">
        <f t="shared" si="4"/>
        <v>15.863941605839416</v>
      </c>
      <c r="U6" s="36">
        <f t="shared" si="5"/>
        <v>0.89007299270072993</v>
      </c>
      <c r="V6" s="36">
        <f t="shared" si="6"/>
        <v>3.04</v>
      </c>
      <c r="W6" s="36">
        <f t="shared" si="7"/>
        <v>0.3105109489051095</v>
      </c>
    </row>
    <row r="7" spans="1:23" x14ac:dyDescent="0.2">
      <c r="A7" s="369"/>
      <c r="B7" s="33">
        <v>4</v>
      </c>
      <c r="C7" s="390" t="s">
        <v>413</v>
      </c>
      <c r="D7" s="391"/>
      <c r="E7" s="35">
        <v>62</v>
      </c>
      <c r="F7" s="35">
        <v>16</v>
      </c>
      <c r="G7" s="147">
        <v>6586</v>
      </c>
      <c r="H7" s="35">
        <v>1803</v>
      </c>
      <c r="I7" s="35">
        <v>0</v>
      </c>
      <c r="J7" s="35">
        <f t="shared" si="0"/>
        <v>1803</v>
      </c>
      <c r="K7" s="35">
        <v>135672</v>
      </c>
      <c r="L7" s="35">
        <f>52800+4177+50158</f>
        <v>107135</v>
      </c>
      <c r="M7" s="35">
        <v>6887</v>
      </c>
      <c r="N7" s="35">
        <f>5335+527</f>
        <v>5862</v>
      </c>
      <c r="O7" s="35">
        <v>18243</v>
      </c>
      <c r="P7" s="35">
        <v>2045</v>
      </c>
      <c r="Q7" s="147">
        <f t="shared" si="1"/>
        <v>275844</v>
      </c>
      <c r="R7" s="36">
        <f t="shared" si="2"/>
        <v>41.883389006984515</v>
      </c>
      <c r="S7" s="36">
        <f t="shared" si="3"/>
        <v>20.600060734892196</v>
      </c>
      <c r="T7" s="36">
        <f t="shared" si="4"/>
        <v>16.267081688430004</v>
      </c>
      <c r="U7" s="36">
        <f t="shared" si="5"/>
        <v>0.89006984512602494</v>
      </c>
      <c r="V7" s="36">
        <f t="shared" si="6"/>
        <v>2.7699665958092923</v>
      </c>
      <c r="W7" s="36">
        <f t="shared" si="7"/>
        <v>0.31050713634983296</v>
      </c>
    </row>
    <row r="8" spans="1:23" x14ac:dyDescent="0.2">
      <c r="A8" s="369"/>
      <c r="B8" s="33">
        <v>5</v>
      </c>
      <c r="C8" s="390" t="s">
        <v>414</v>
      </c>
      <c r="D8" s="391"/>
      <c r="E8" s="35">
        <v>62</v>
      </c>
      <c r="F8" s="35">
        <v>28</v>
      </c>
      <c r="G8" s="147">
        <v>7176</v>
      </c>
      <c r="H8" s="35">
        <v>1887</v>
      </c>
      <c r="I8" s="35">
        <v>0</v>
      </c>
      <c r="J8" s="35">
        <f t="shared" si="0"/>
        <v>1887</v>
      </c>
      <c r="K8" s="35">
        <v>147826</v>
      </c>
      <c r="L8" s="35">
        <f>57530+4177+50158</f>
        <v>111865</v>
      </c>
      <c r="M8" s="35">
        <v>7944</v>
      </c>
      <c r="N8" s="35">
        <f>5813+574</f>
        <v>6387</v>
      </c>
      <c r="O8" s="35">
        <v>23178</v>
      </c>
      <c r="P8" s="35">
        <v>2228</v>
      </c>
      <c r="Q8" s="147">
        <f t="shared" si="1"/>
        <v>299428</v>
      </c>
      <c r="R8" s="36">
        <f t="shared" si="2"/>
        <v>41.726309921962098</v>
      </c>
      <c r="S8" s="36">
        <f t="shared" si="3"/>
        <v>20.600055741360091</v>
      </c>
      <c r="T8" s="36">
        <f t="shared" si="4"/>
        <v>15.588768115942029</v>
      </c>
      <c r="U8" s="36">
        <f t="shared" si="5"/>
        <v>0.89005016722408026</v>
      </c>
      <c r="V8" s="36">
        <f t="shared" si="6"/>
        <v>3.229933110367893</v>
      </c>
      <c r="W8" s="36">
        <f t="shared" si="7"/>
        <v>0.31047937569676698</v>
      </c>
    </row>
    <row r="9" spans="1:23" x14ac:dyDescent="0.2">
      <c r="A9" s="369"/>
      <c r="B9" s="33">
        <v>6</v>
      </c>
      <c r="C9" s="390" t="s">
        <v>415</v>
      </c>
      <c r="D9" s="391"/>
      <c r="E9" s="35">
        <v>62</v>
      </c>
      <c r="F9" s="35">
        <v>32</v>
      </c>
      <c r="G9" s="147">
        <v>9377</v>
      </c>
      <c r="H9" s="35">
        <v>1837</v>
      </c>
      <c r="I9" s="35">
        <v>0</v>
      </c>
      <c r="J9" s="35">
        <f t="shared" si="0"/>
        <v>1837</v>
      </c>
      <c r="K9" s="35">
        <v>193166</v>
      </c>
      <c r="L9" s="35">
        <f>75176+4177+50158</f>
        <v>129511</v>
      </c>
      <c r="M9" s="35">
        <v>7734</v>
      </c>
      <c r="N9" s="35">
        <f>7595+750</f>
        <v>8345</v>
      </c>
      <c r="O9" s="35">
        <v>15941</v>
      </c>
      <c r="P9" s="35">
        <v>2912</v>
      </c>
      <c r="Q9" s="147">
        <f t="shared" si="1"/>
        <v>357609</v>
      </c>
      <c r="R9" s="36">
        <f t="shared" si="2"/>
        <v>38.136824144182576</v>
      </c>
      <c r="S9" s="36">
        <f t="shared" si="3"/>
        <v>20.599978671216807</v>
      </c>
      <c r="T9" s="36">
        <f t="shared" si="4"/>
        <v>13.811560200490563</v>
      </c>
      <c r="U9" s="36">
        <f t="shared" si="5"/>
        <v>0.88994347872453872</v>
      </c>
      <c r="V9" s="36">
        <f t="shared" si="6"/>
        <v>1.7000106643915964</v>
      </c>
      <c r="W9" s="36">
        <f t="shared" si="7"/>
        <v>0.31054708328889835</v>
      </c>
    </row>
    <row r="10" spans="1:23" x14ac:dyDescent="0.2">
      <c r="A10" s="369"/>
      <c r="B10" s="33">
        <v>7</v>
      </c>
      <c r="C10" s="390" t="s">
        <v>416</v>
      </c>
      <c r="D10" s="391"/>
      <c r="E10" s="35">
        <v>62</v>
      </c>
      <c r="F10" s="35">
        <v>28</v>
      </c>
      <c r="G10" s="147">
        <v>5666</v>
      </c>
      <c r="H10" s="35">
        <v>1221</v>
      </c>
      <c r="I10" s="35">
        <v>324</v>
      </c>
      <c r="J10" s="35">
        <f t="shared" si="0"/>
        <v>1545</v>
      </c>
      <c r="K10" s="35">
        <v>116720</v>
      </c>
      <c r="L10" s="35">
        <f>45424+4177+50158</f>
        <v>99759</v>
      </c>
      <c r="M10" s="35">
        <v>6503</v>
      </c>
      <c r="N10" s="35">
        <f>8216+453</f>
        <v>8669</v>
      </c>
      <c r="O10" s="35">
        <v>1133</v>
      </c>
      <c r="P10" s="35">
        <v>1759</v>
      </c>
      <c r="Q10" s="147">
        <f t="shared" si="1"/>
        <v>234543</v>
      </c>
      <c r="R10" s="36">
        <f t="shared" si="2"/>
        <v>41.394811154253439</v>
      </c>
      <c r="S10" s="36">
        <f t="shared" si="3"/>
        <v>20.600070596540771</v>
      </c>
      <c r="T10" s="36">
        <f t="shared" si="4"/>
        <v>17.606600776561947</v>
      </c>
      <c r="U10" s="36">
        <f t="shared" si="5"/>
        <v>1.5300035298270385</v>
      </c>
      <c r="V10" s="36">
        <f t="shared" si="6"/>
        <v>0.19996470172961525</v>
      </c>
      <c r="W10" s="36">
        <f t="shared" si="7"/>
        <v>0.31044828803388635</v>
      </c>
    </row>
    <row r="11" spans="1:23" x14ac:dyDescent="0.2">
      <c r="A11" s="369"/>
      <c r="B11" s="33">
        <v>8</v>
      </c>
      <c r="C11" s="390" t="s">
        <v>426</v>
      </c>
      <c r="D11" s="391"/>
      <c r="E11" s="35">
        <v>62</v>
      </c>
      <c r="F11" s="35">
        <v>24</v>
      </c>
      <c r="G11" s="147">
        <v>7126</v>
      </c>
      <c r="H11" s="35">
        <v>2928</v>
      </c>
      <c r="I11" s="35">
        <v>0</v>
      </c>
      <c r="J11" s="35">
        <f t="shared" si="0"/>
        <v>2928</v>
      </c>
      <c r="K11" s="35">
        <v>146796</v>
      </c>
      <c r="L11" s="35">
        <f>57129+4177+50158</f>
        <v>111464</v>
      </c>
      <c r="M11" s="35">
        <v>12327</v>
      </c>
      <c r="N11" s="35">
        <v>10903</v>
      </c>
      <c r="O11" s="35">
        <v>0</v>
      </c>
      <c r="P11" s="35">
        <v>2213</v>
      </c>
      <c r="Q11" s="147">
        <f t="shared" si="1"/>
        <v>283703</v>
      </c>
      <c r="R11" s="36">
        <f t="shared" si="2"/>
        <v>39.812377210216113</v>
      </c>
      <c r="S11" s="36">
        <f t="shared" si="3"/>
        <v>20.600056132472634</v>
      </c>
      <c r="T11" s="36">
        <f t="shared" si="4"/>
        <v>15.641874824586022</v>
      </c>
      <c r="U11" s="36">
        <f t="shared" si="5"/>
        <v>1.5300308728599494</v>
      </c>
      <c r="V11" s="36">
        <f t="shared" si="6"/>
        <v>0</v>
      </c>
      <c r="W11" s="36">
        <f t="shared" si="7"/>
        <v>0.31055290485545889</v>
      </c>
    </row>
    <row r="12" spans="1:23" x14ac:dyDescent="0.2">
      <c r="A12" s="369"/>
      <c r="B12" s="33">
        <v>9</v>
      </c>
      <c r="C12" s="390" t="s">
        <v>428</v>
      </c>
      <c r="D12" s="391"/>
      <c r="E12" s="35">
        <v>62</v>
      </c>
      <c r="F12" s="35">
        <v>36</v>
      </c>
      <c r="G12" s="147">
        <v>9628</v>
      </c>
      <c r="H12" s="35">
        <v>1502</v>
      </c>
      <c r="I12" s="35">
        <v>0</v>
      </c>
      <c r="J12" s="35">
        <f t="shared" si="0"/>
        <v>1502</v>
      </c>
      <c r="K12" s="35">
        <v>198337</v>
      </c>
      <c r="L12" s="35">
        <f>77187+4177+50158</f>
        <v>131522</v>
      </c>
      <c r="M12" s="35">
        <v>6323</v>
      </c>
      <c r="N12" s="35">
        <v>14731</v>
      </c>
      <c r="O12" s="35">
        <v>0</v>
      </c>
      <c r="P12" s="35">
        <v>2989</v>
      </c>
      <c r="Q12" s="147">
        <f t="shared" si="1"/>
        <v>353902</v>
      </c>
      <c r="R12" s="36">
        <f t="shared" si="2"/>
        <v>36.757582052347317</v>
      </c>
      <c r="S12" s="36">
        <f t="shared" si="3"/>
        <v>20.600020772746156</v>
      </c>
      <c r="T12" s="36">
        <f t="shared" si="4"/>
        <v>13.660365600332364</v>
      </c>
      <c r="U12" s="36">
        <f t="shared" si="5"/>
        <v>1.5300166181969257</v>
      </c>
      <c r="V12" s="36">
        <f t="shared" si="6"/>
        <v>0</v>
      </c>
      <c r="W12" s="36">
        <f t="shared" si="7"/>
        <v>0.3104486913169921</v>
      </c>
    </row>
    <row r="13" spans="1:23" x14ac:dyDescent="0.2">
      <c r="A13" s="369"/>
      <c r="B13" s="33">
        <v>10</v>
      </c>
      <c r="C13" s="390" t="s">
        <v>435</v>
      </c>
      <c r="D13" s="391"/>
      <c r="E13" s="35">
        <v>62</v>
      </c>
      <c r="F13" s="35">
        <v>32</v>
      </c>
      <c r="G13" s="147">
        <v>8163</v>
      </c>
      <c r="H13" s="35">
        <v>2716</v>
      </c>
      <c r="I13" s="35">
        <v>0</v>
      </c>
      <c r="J13" s="35">
        <f t="shared" si="0"/>
        <v>2716</v>
      </c>
      <c r="K13" s="35">
        <v>168158</v>
      </c>
      <c r="L13" s="35">
        <f>65442+4177+50158</f>
        <v>119777</v>
      </c>
      <c r="M13" s="35">
        <v>11434</v>
      </c>
      <c r="N13" s="35">
        <v>12489</v>
      </c>
      <c r="O13" s="35">
        <v>0</v>
      </c>
      <c r="P13" s="35">
        <f>2535+2204</f>
        <v>4739</v>
      </c>
      <c r="Q13" s="147">
        <f t="shared" si="1"/>
        <v>316597</v>
      </c>
      <c r="R13" s="36">
        <f t="shared" si="2"/>
        <v>38.784392992772268</v>
      </c>
      <c r="S13" s="36">
        <f t="shared" si="3"/>
        <v>20.600024500796277</v>
      </c>
      <c r="T13" s="36">
        <f t="shared" si="4"/>
        <v>14.673159377679774</v>
      </c>
      <c r="U13" s="36">
        <f t="shared" si="5"/>
        <v>1.529952223447262</v>
      </c>
      <c r="V13" s="36">
        <f t="shared" si="6"/>
        <v>0</v>
      </c>
      <c r="W13" s="36">
        <f t="shared" si="7"/>
        <v>0.58054636775695212</v>
      </c>
    </row>
    <row r="14" spans="1:23" x14ac:dyDescent="0.2">
      <c r="A14" s="369"/>
      <c r="B14" s="33">
        <v>11</v>
      </c>
      <c r="C14" s="390" t="s">
        <v>437</v>
      </c>
      <c r="D14" s="391"/>
      <c r="E14" s="35">
        <v>62</v>
      </c>
      <c r="F14" s="35">
        <v>32</v>
      </c>
      <c r="G14" s="147">
        <v>8237</v>
      </c>
      <c r="H14" s="35">
        <v>4208</v>
      </c>
      <c r="I14" s="35">
        <v>0</v>
      </c>
      <c r="J14" s="35">
        <f t="shared" si="0"/>
        <v>4208</v>
      </c>
      <c r="K14" s="35">
        <v>169682</v>
      </c>
      <c r="L14" s="35">
        <f>66037+4177+50158</f>
        <v>120372</v>
      </c>
      <c r="M14" s="35">
        <v>17716</v>
      </c>
      <c r="N14" s="35">
        <v>12603</v>
      </c>
      <c r="O14" s="35">
        <v>0</v>
      </c>
      <c r="P14" s="35">
        <f>2558+2224</f>
        <v>4782</v>
      </c>
      <c r="Q14" s="147">
        <f t="shared" si="1"/>
        <v>325155</v>
      </c>
      <c r="R14" s="36">
        <f t="shared" si="2"/>
        <v>39.47493019303144</v>
      </c>
      <c r="S14" s="36">
        <f t="shared" si="3"/>
        <v>20.599975719315285</v>
      </c>
      <c r="T14" s="36">
        <f t="shared" si="4"/>
        <v>14.613572902755857</v>
      </c>
      <c r="U14" s="36">
        <f t="shared" si="5"/>
        <v>1.5300473473351948</v>
      </c>
      <c r="V14" s="36">
        <f t="shared" si="6"/>
        <v>0</v>
      </c>
      <c r="W14" s="36">
        <f t="shared" si="7"/>
        <v>0.58055117154303748</v>
      </c>
    </row>
    <row r="15" spans="1:23" ht="15" thickBot="1" x14ac:dyDescent="0.25">
      <c r="A15" s="383"/>
      <c r="B15" s="37">
        <v>12</v>
      </c>
      <c r="C15" s="386" t="s">
        <v>439</v>
      </c>
      <c r="D15" s="387"/>
      <c r="E15" s="35">
        <v>62</v>
      </c>
      <c r="F15" s="38">
        <v>32</v>
      </c>
      <c r="G15" s="148">
        <v>7404</v>
      </c>
      <c r="H15" s="38">
        <f>3556+22</f>
        <v>3578</v>
      </c>
      <c r="I15" s="38"/>
      <c r="J15" s="38">
        <f t="shared" si="0"/>
        <v>3578</v>
      </c>
      <c r="K15" s="38">
        <v>152522</v>
      </c>
      <c r="L15" s="38">
        <f>59358+4177+50158</f>
        <v>113693</v>
      </c>
      <c r="M15" s="38">
        <f>14971+93</f>
        <v>15064</v>
      </c>
      <c r="N15" s="38">
        <v>11328</v>
      </c>
      <c r="O15" s="38">
        <v>0</v>
      </c>
      <c r="P15" s="38">
        <f>2299+1999</f>
        <v>4298</v>
      </c>
      <c r="Q15" s="148">
        <f t="shared" si="1"/>
        <v>296905</v>
      </c>
      <c r="R15" s="39">
        <f t="shared" si="2"/>
        <v>40.100621285791462</v>
      </c>
      <c r="S15" s="39">
        <f t="shared" si="3"/>
        <v>20.599945975148568</v>
      </c>
      <c r="T15" s="39">
        <f t="shared" si="4"/>
        <v>15.355618584548893</v>
      </c>
      <c r="U15" s="39">
        <f t="shared" si="5"/>
        <v>1.5299837925445705</v>
      </c>
      <c r="V15" s="39">
        <f t="shared" si="6"/>
        <v>0</v>
      </c>
      <c r="W15" s="39">
        <f t="shared" si="7"/>
        <v>0.58049702863317121</v>
      </c>
    </row>
    <row r="16" spans="1:23" ht="27" customHeight="1" thickTop="1" thickBot="1" x14ac:dyDescent="0.25">
      <c r="A16" s="361" t="s">
        <v>6</v>
      </c>
      <c r="B16" s="362"/>
      <c r="C16" s="362"/>
      <c r="D16" s="363"/>
      <c r="E16" s="40">
        <v>62</v>
      </c>
      <c r="F16" s="40"/>
      <c r="G16" s="40">
        <f>SUM(G4:G15)</f>
        <v>90263</v>
      </c>
      <c r="H16" s="40">
        <f t="shared" ref="H16:Q16" si="8">SUM(H4:H15)</f>
        <v>25187</v>
      </c>
      <c r="I16" s="40">
        <f t="shared" si="8"/>
        <v>324</v>
      </c>
      <c r="J16" s="40">
        <f t="shared" si="8"/>
        <v>25511</v>
      </c>
      <c r="K16" s="40">
        <f t="shared" si="8"/>
        <v>1859419</v>
      </c>
      <c r="L16" s="40">
        <f t="shared" si="8"/>
        <v>1374273</v>
      </c>
      <c r="M16" s="40">
        <f t="shared" si="8"/>
        <v>105329</v>
      </c>
      <c r="N16" s="40">
        <f t="shared" si="8"/>
        <v>109919</v>
      </c>
      <c r="O16" s="40">
        <f t="shared" si="8"/>
        <v>105974</v>
      </c>
      <c r="P16" s="40">
        <f t="shared" si="8"/>
        <v>34454</v>
      </c>
      <c r="Q16" s="40">
        <f t="shared" si="8"/>
        <v>3589368</v>
      </c>
      <c r="R16" s="41">
        <f t="shared" si="2"/>
        <v>39.765662563841218</v>
      </c>
      <c r="S16" s="41">
        <f t="shared" si="3"/>
        <v>20.600013294483897</v>
      </c>
      <c r="T16" s="41">
        <f t="shared" si="4"/>
        <v>15.225208557216135</v>
      </c>
      <c r="U16" s="41">
        <f t="shared" si="5"/>
        <v>1.2177636462337835</v>
      </c>
      <c r="V16" s="41">
        <f t="shared" si="6"/>
        <v>1.1740580304222106</v>
      </c>
      <c r="W16" s="41">
        <f t="shared" si="7"/>
        <v>0.38170679015765041</v>
      </c>
    </row>
    <row r="17" spans="1:24" ht="15.75" thickTop="1" x14ac:dyDescent="0.25">
      <c r="A17" s="47" t="s">
        <v>86</v>
      </c>
      <c r="B17" s="382" t="s">
        <v>90</v>
      </c>
      <c r="C17" s="382"/>
      <c r="D17" s="382"/>
      <c r="E17" s="382"/>
      <c r="F17" s="382"/>
      <c r="G17" s="381" t="s">
        <v>87</v>
      </c>
      <c r="H17" s="381"/>
      <c r="I17" s="382">
        <v>35008154</v>
      </c>
      <c r="J17" s="382"/>
      <c r="K17" s="308" t="s">
        <v>88</v>
      </c>
      <c r="L17" s="381" t="s">
        <v>91</v>
      </c>
      <c r="M17" s="381"/>
      <c r="N17" s="381"/>
      <c r="O17" s="381"/>
      <c r="P17" s="67"/>
      <c r="Q17" s="67" t="s">
        <v>92</v>
      </c>
      <c r="S17" s="380" t="s">
        <v>93</v>
      </c>
      <c r="T17" s="380"/>
      <c r="V17" s="25" t="s">
        <v>392</v>
      </c>
    </row>
    <row r="18" spans="1:24" ht="15" thickBot="1" x14ac:dyDescent="0.25"/>
    <row r="19" spans="1:24" ht="53.25" customHeight="1" thickTop="1" thickBot="1" x14ac:dyDescent="0.25">
      <c r="A19" s="384" t="s">
        <v>64</v>
      </c>
      <c r="B19" s="364" t="s">
        <v>0</v>
      </c>
      <c r="C19" s="360" t="s">
        <v>5</v>
      </c>
      <c r="D19" s="360"/>
      <c r="E19" s="360" t="s">
        <v>29</v>
      </c>
      <c r="F19" s="360" t="s">
        <v>30</v>
      </c>
      <c r="G19" s="364" t="s">
        <v>7</v>
      </c>
      <c r="H19" s="357" t="s">
        <v>8</v>
      </c>
      <c r="I19" s="358"/>
      <c r="J19" s="359"/>
      <c r="K19" s="357" t="s">
        <v>11</v>
      </c>
      <c r="L19" s="358"/>
      <c r="M19" s="358"/>
      <c r="N19" s="358"/>
      <c r="O19" s="358"/>
      <c r="P19" s="358"/>
      <c r="Q19" s="359"/>
      <c r="R19" s="357" t="s">
        <v>31</v>
      </c>
      <c r="S19" s="358"/>
      <c r="T19" s="358"/>
      <c r="U19" s="358"/>
      <c r="V19" s="358"/>
      <c r="W19" s="359"/>
    </row>
    <row r="20" spans="1:24" ht="102" customHeight="1" thickTop="1" thickBot="1" x14ac:dyDescent="0.25">
      <c r="A20" s="385"/>
      <c r="B20" s="365"/>
      <c r="C20" s="50" t="s">
        <v>3</v>
      </c>
      <c r="D20" s="50" t="s">
        <v>4</v>
      </c>
      <c r="E20" s="360"/>
      <c r="F20" s="360"/>
      <c r="G20" s="365"/>
      <c r="H20" s="50" t="s">
        <v>17</v>
      </c>
      <c r="I20" s="50" t="s">
        <v>89</v>
      </c>
      <c r="J20" s="50" t="s">
        <v>6</v>
      </c>
      <c r="K20" s="50" t="s">
        <v>9</v>
      </c>
      <c r="L20" s="50" t="s">
        <v>10</v>
      </c>
      <c r="M20" s="50" t="s">
        <v>12</v>
      </c>
      <c r="N20" s="50" t="s">
        <v>24</v>
      </c>
      <c r="O20" s="50" t="s">
        <v>25</v>
      </c>
      <c r="P20" s="52" t="s">
        <v>436</v>
      </c>
      <c r="Q20" s="50" t="s">
        <v>23</v>
      </c>
      <c r="R20" s="51" t="s">
        <v>6</v>
      </c>
      <c r="S20" s="51" t="s">
        <v>22</v>
      </c>
      <c r="T20" s="51" t="s">
        <v>20</v>
      </c>
      <c r="U20" s="51" t="s">
        <v>32</v>
      </c>
      <c r="V20" s="51" t="s">
        <v>33</v>
      </c>
      <c r="W20" s="294" t="s">
        <v>386</v>
      </c>
      <c r="X20" s="68"/>
    </row>
    <row r="21" spans="1:24" ht="15" customHeight="1" thickTop="1" x14ac:dyDescent="0.2">
      <c r="A21" s="368" t="s">
        <v>94</v>
      </c>
      <c r="B21" s="29">
        <v>1</v>
      </c>
      <c r="C21" s="388" t="s">
        <v>406</v>
      </c>
      <c r="D21" s="389"/>
      <c r="E21" s="31">
        <v>62</v>
      </c>
      <c r="F21" s="143">
        <v>44</v>
      </c>
      <c r="G21" s="146">
        <v>8737</v>
      </c>
      <c r="H21" s="31">
        <v>0</v>
      </c>
      <c r="I21" s="31">
        <v>0</v>
      </c>
      <c r="J21" s="31">
        <f>+I21+H21</f>
        <v>0</v>
      </c>
      <c r="K21" s="31">
        <v>179972</v>
      </c>
      <c r="L21" s="31">
        <f>57224+2959+48732</f>
        <v>108915</v>
      </c>
      <c r="M21" s="31">
        <v>0</v>
      </c>
      <c r="N21" s="31">
        <f>7077+699</f>
        <v>7776</v>
      </c>
      <c r="O21" s="31">
        <v>12930</v>
      </c>
      <c r="P21" s="31">
        <v>2713</v>
      </c>
      <c r="Q21" s="146">
        <f>+P21+O21+N21+M21+L21+K21</f>
        <v>312306</v>
      </c>
      <c r="R21" s="32">
        <f>+Q21/G21</f>
        <v>35.745221471901111</v>
      </c>
      <c r="S21" s="32">
        <f>+K21/G21</f>
        <v>20.598832551218955</v>
      </c>
      <c r="T21" s="32">
        <f>+L21/G21</f>
        <v>12.465949410552822</v>
      </c>
      <c r="U21" s="32">
        <f>+N21/G21</f>
        <v>0.89000801190339929</v>
      </c>
      <c r="V21" s="32">
        <f>+O21/G21</f>
        <v>1.4799130136202359</v>
      </c>
      <c r="W21" s="32">
        <f>+P21/G21</f>
        <v>0.31051848460569992</v>
      </c>
    </row>
    <row r="22" spans="1:24" x14ac:dyDescent="0.2">
      <c r="A22" s="369"/>
      <c r="B22" s="33">
        <v>2</v>
      </c>
      <c r="C22" s="390" t="s">
        <v>411</v>
      </c>
      <c r="D22" s="391"/>
      <c r="E22" s="35">
        <v>62</v>
      </c>
      <c r="F22" s="144">
        <v>45</v>
      </c>
      <c r="G22" s="147">
        <v>8382</v>
      </c>
      <c r="H22" s="35">
        <v>1</v>
      </c>
      <c r="I22" s="35">
        <v>383</v>
      </c>
      <c r="J22" s="35">
        <f t="shared" ref="J22:J32" si="9">+I22+H22</f>
        <v>384</v>
      </c>
      <c r="K22" s="35">
        <v>172659</v>
      </c>
      <c r="L22" s="35">
        <f>54899+2959+48732</f>
        <v>106590</v>
      </c>
      <c r="M22" s="35">
        <v>1467</v>
      </c>
      <c r="N22" s="35">
        <f>6789+671</f>
        <v>7460</v>
      </c>
      <c r="O22" s="35">
        <v>19613</v>
      </c>
      <c r="P22" s="35">
        <v>2602</v>
      </c>
      <c r="Q22" s="147">
        <f t="shared" ref="Q22:Q32" si="10">+P22+O22+N22+M22+L22+K22</f>
        <v>310391</v>
      </c>
      <c r="R22" s="36">
        <f t="shared" ref="R22:R33" si="11">+Q22/G22</f>
        <v>37.030660940109762</v>
      </c>
      <c r="S22" s="36">
        <f t="shared" ref="S22:S33" si="12">+K22/G22</f>
        <v>20.598783106657123</v>
      </c>
      <c r="T22" s="36">
        <f t="shared" ref="T22:T33" si="13">+L22/G22</f>
        <v>12.716535433070867</v>
      </c>
      <c r="U22" s="36">
        <f t="shared" ref="U22:U33" si="14">+N22/G22</f>
        <v>0.89000238606537818</v>
      </c>
      <c r="V22" s="36">
        <f t="shared" ref="V22:V33" si="15">+O22/G22</f>
        <v>2.3398950131233596</v>
      </c>
      <c r="W22" s="36">
        <f t="shared" ref="W22:W33" si="16">+P22/G22</f>
        <v>0.31042710570269627</v>
      </c>
    </row>
    <row r="23" spans="1:24" x14ac:dyDescent="0.2">
      <c r="A23" s="369"/>
      <c r="B23" s="33">
        <v>3</v>
      </c>
      <c r="C23" s="390" t="s">
        <v>412</v>
      </c>
      <c r="D23" s="391"/>
      <c r="E23" s="35">
        <v>62</v>
      </c>
      <c r="F23" s="144">
        <v>20</v>
      </c>
      <c r="G23" s="147">
        <v>5583</v>
      </c>
      <c r="H23" s="35">
        <v>2</v>
      </c>
      <c r="I23" s="35">
        <v>0</v>
      </c>
      <c r="J23" s="35">
        <f t="shared" si="9"/>
        <v>2</v>
      </c>
      <c r="K23" s="35">
        <v>115026</v>
      </c>
      <c r="L23" s="35">
        <f>36574+2959+48732</f>
        <v>88265</v>
      </c>
      <c r="M23" s="35">
        <v>8</v>
      </c>
      <c r="N23" s="35">
        <f>4523+447</f>
        <v>4970</v>
      </c>
      <c r="O23" s="35">
        <v>16975</v>
      </c>
      <c r="P23" s="35">
        <v>1734</v>
      </c>
      <c r="Q23" s="147">
        <f t="shared" si="10"/>
        <v>226978</v>
      </c>
      <c r="R23" s="36">
        <f t="shared" si="11"/>
        <v>40.655203295719147</v>
      </c>
      <c r="S23" s="36">
        <f t="shared" si="12"/>
        <v>20.602901665771089</v>
      </c>
      <c r="T23" s="36">
        <f t="shared" si="13"/>
        <v>15.809600573168547</v>
      </c>
      <c r="U23" s="36">
        <f t="shared" si="14"/>
        <v>0.89020240014329211</v>
      </c>
      <c r="V23" s="36">
        <f t="shared" si="15"/>
        <v>3.0404800286584273</v>
      </c>
      <c r="W23" s="36">
        <f t="shared" si="16"/>
        <v>0.31058570660934981</v>
      </c>
    </row>
    <row r="24" spans="1:24" x14ac:dyDescent="0.2">
      <c r="A24" s="369"/>
      <c r="B24" s="33">
        <v>4</v>
      </c>
      <c r="C24" s="390" t="s">
        <v>413</v>
      </c>
      <c r="D24" s="391"/>
      <c r="E24" s="35">
        <v>62</v>
      </c>
      <c r="F24" s="144">
        <v>22</v>
      </c>
      <c r="G24" s="147">
        <v>5009</v>
      </c>
      <c r="H24" s="35">
        <v>0</v>
      </c>
      <c r="I24" s="35">
        <v>251</v>
      </c>
      <c r="J24" s="35">
        <f t="shared" si="9"/>
        <v>251</v>
      </c>
      <c r="K24" s="35">
        <v>103190</v>
      </c>
      <c r="L24" s="35">
        <f>30692+4177+60326</f>
        <v>95195</v>
      </c>
      <c r="M24" s="35">
        <v>959</v>
      </c>
      <c r="N24" s="35">
        <f>4057+401</f>
        <v>4458</v>
      </c>
      <c r="O24" s="35">
        <v>13875</v>
      </c>
      <c r="P24" s="35">
        <v>1555</v>
      </c>
      <c r="Q24" s="147">
        <f t="shared" si="10"/>
        <v>219232</v>
      </c>
      <c r="R24" s="36">
        <f t="shared" si="11"/>
        <v>43.767618287083252</v>
      </c>
      <c r="S24" s="36">
        <f t="shared" si="12"/>
        <v>20.600918346975444</v>
      </c>
      <c r="T24" s="36">
        <f t="shared" si="13"/>
        <v>19.004791375524057</v>
      </c>
      <c r="U24" s="36">
        <f t="shared" si="14"/>
        <v>0.88999800359353165</v>
      </c>
      <c r="V24" s="36">
        <f t="shared" si="15"/>
        <v>2.7700139748452783</v>
      </c>
      <c r="W24" s="36">
        <f t="shared" si="16"/>
        <v>0.31044120582950691</v>
      </c>
    </row>
    <row r="25" spans="1:24" x14ac:dyDescent="0.2">
      <c r="A25" s="369"/>
      <c r="B25" s="33">
        <v>5</v>
      </c>
      <c r="C25" s="390" t="s">
        <v>414</v>
      </c>
      <c r="D25" s="391"/>
      <c r="E25" s="35">
        <v>62</v>
      </c>
      <c r="F25" s="144">
        <v>40</v>
      </c>
      <c r="G25" s="147">
        <v>6218</v>
      </c>
      <c r="H25" s="35">
        <v>3</v>
      </c>
      <c r="I25" s="35">
        <v>203</v>
      </c>
      <c r="J25" s="35">
        <f t="shared" si="9"/>
        <v>206</v>
      </c>
      <c r="K25" s="35">
        <v>128089</v>
      </c>
      <c r="L25" s="35">
        <f>38097+4177+60326</f>
        <v>102600</v>
      </c>
      <c r="M25" s="35">
        <v>866</v>
      </c>
      <c r="N25" s="35">
        <f>5036+497</f>
        <v>5533</v>
      </c>
      <c r="O25" s="35">
        <v>20084</v>
      </c>
      <c r="P25" s="35">
        <v>1931</v>
      </c>
      <c r="Q25" s="147">
        <f t="shared" si="10"/>
        <v>259103</v>
      </c>
      <c r="R25" s="36">
        <f t="shared" si="11"/>
        <v>41.669829527179161</v>
      </c>
      <c r="S25" s="36">
        <f t="shared" si="12"/>
        <v>20.599710517851399</v>
      </c>
      <c r="T25" s="36">
        <f t="shared" si="13"/>
        <v>16.500482470247668</v>
      </c>
      <c r="U25" s="36">
        <f t="shared" si="14"/>
        <v>0.88983596011579291</v>
      </c>
      <c r="V25" s="36">
        <f t="shared" si="15"/>
        <v>3.2299774847217755</v>
      </c>
      <c r="W25" s="36">
        <f t="shared" si="16"/>
        <v>0.31055001608234156</v>
      </c>
    </row>
    <row r="26" spans="1:24" x14ac:dyDescent="0.2">
      <c r="A26" s="369"/>
      <c r="B26" s="33">
        <v>6</v>
      </c>
      <c r="C26" s="390" t="s">
        <v>415</v>
      </c>
      <c r="D26" s="391"/>
      <c r="E26" s="35">
        <v>62</v>
      </c>
      <c r="F26" s="144">
        <v>37</v>
      </c>
      <c r="G26" s="147">
        <v>5750</v>
      </c>
      <c r="H26" s="35">
        <v>53</v>
      </c>
      <c r="I26" s="35">
        <v>0</v>
      </c>
      <c r="J26" s="35">
        <f t="shared" si="9"/>
        <v>53</v>
      </c>
      <c r="K26" s="35">
        <v>118450</v>
      </c>
      <c r="L26" s="309">
        <f>35230+4177+60326</f>
        <v>99733</v>
      </c>
      <c r="M26" s="35">
        <v>223</v>
      </c>
      <c r="N26" s="35">
        <f>4658+460</f>
        <v>5118</v>
      </c>
      <c r="O26" s="35">
        <v>9775</v>
      </c>
      <c r="P26" s="35">
        <v>1785</v>
      </c>
      <c r="Q26" s="147">
        <f t="shared" si="10"/>
        <v>235084</v>
      </c>
      <c r="R26" s="36">
        <f t="shared" si="11"/>
        <v>40.884173913043476</v>
      </c>
      <c r="S26" s="36">
        <f t="shared" si="12"/>
        <v>20.6</v>
      </c>
      <c r="T26" s="36">
        <f t="shared" si="13"/>
        <v>17.34486956521739</v>
      </c>
      <c r="U26" s="36">
        <f t="shared" si="14"/>
        <v>0.89008695652173908</v>
      </c>
      <c r="V26" s="36">
        <f t="shared" si="15"/>
        <v>1.7</v>
      </c>
      <c r="W26" s="36">
        <f t="shared" si="16"/>
        <v>0.31043478260869567</v>
      </c>
    </row>
    <row r="27" spans="1:24" x14ac:dyDescent="0.2">
      <c r="A27" s="369"/>
      <c r="B27" s="33">
        <v>7</v>
      </c>
      <c r="C27" s="390" t="s">
        <v>416</v>
      </c>
      <c r="D27" s="391"/>
      <c r="E27" s="35">
        <v>62</v>
      </c>
      <c r="F27" s="144">
        <v>22</v>
      </c>
      <c r="G27" s="147">
        <v>4445</v>
      </c>
      <c r="H27" s="35">
        <v>23</v>
      </c>
      <c r="I27" s="35">
        <v>0</v>
      </c>
      <c r="J27" s="35">
        <f t="shared" si="9"/>
        <v>23</v>
      </c>
      <c r="K27" s="35">
        <v>91563</v>
      </c>
      <c r="L27" s="35">
        <f>27234+4177+60326</f>
        <v>91737</v>
      </c>
      <c r="M27" s="35">
        <v>97</v>
      </c>
      <c r="N27" s="35">
        <f>6445+356</f>
        <v>6801</v>
      </c>
      <c r="O27" s="35">
        <v>889</v>
      </c>
      <c r="P27" s="35">
        <v>1380</v>
      </c>
      <c r="Q27" s="147">
        <f t="shared" si="10"/>
        <v>192467</v>
      </c>
      <c r="R27" s="36">
        <f t="shared" si="11"/>
        <v>43.299662542182226</v>
      </c>
      <c r="S27" s="36">
        <f t="shared" si="12"/>
        <v>20.599100112485939</v>
      </c>
      <c r="T27" s="36">
        <f t="shared" si="13"/>
        <v>20.638245219347581</v>
      </c>
      <c r="U27" s="36">
        <f t="shared" si="14"/>
        <v>1.5300337457817772</v>
      </c>
      <c r="V27" s="36">
        <f t="shared" si="15"/>
        <v>0.2</v>
      </c>
      <c r="W27" s="36">
        <f t="shared" si="16"/>
        <v>0.31046119235095615</v>
      </c>
    </row>
    <row r="28" spans="1:24" x14ac:dyDescent="0.2">
      <c r="A28" s="369"/>
      <c r="B28" s="33">
        <v>8</v>
      </c>
      <c r="C28" s="390" t="s">
        <v>426</v>
      </c>
      <c r="D28" s="391"/>
      <c r="E28" s="35">
        <v>62</v>
      </c>
      <c r="F28" s="144">
        <v>20</v>
      </c>
      <c r="G28" s="147">
        <v>4125</v>
      </c>
      <c r="H28" s="35">
        <v>55</v>
      </c>
      <c r="I28" s="35">
        <v>0</v>
      </c>
      <c r="J28" s="35">
        <f t="shared" si="9"/>
        <v>55</v>
      </c>
      <c r="K28" s="35">
        <v>84971</v>
      </c>
      <c r="L28" s="35">
        <f>25273+4177+60326</f>
        <v>89776</v>
      </c>
      <c r="M28" s="35">
        <v>232</v>
      </c>
      <c r="N28" s="35">
        <f>5981+330</f>
        <v>6311</v>
      </c>
      <c r="O28" s="35">
        <v>0</v>
      </c>
      <c r="P28" s="35">
        <v>1281</v>
      </c>
      <c r="Q28" s="147">
        <f t="shared" si="10"/>
        <v>182571</v>
      </c>
      <c r="R28" s="36">
        <f t="shared" si="11"/>
        <v>44.259636363636361</v>
      </c>
      <c r="S28" s="36">
        <f t="shared" si="12"/>
        <v>20.599030303030304</v>
      </c>
      <c r="T28" s="36">
        <f t="shared" si="13"/>
        <v>21.763878787878788</v>
      </c>
      <c r="U28" s="36">
        <f t="shared" si="14"/>
        <v>1.5299393939393939</v>
      </c>
      <c r="V28" s="36">
        <f t="shared" si="15"/>
        <v>0</v>
      </c>
      <c r="W28" s="36">
        <f t="shared" si="16"/>
        <v>0.31054545454545457</v>
      </c>
    </row>
    <row r="29" spans="1:24" x14ac:dyDescent="0.2">
      <c r="A29" s="369"/>
      <c r="B29" s="33">
        <v>9</v>
      </c>
      <c r="C29" s="390" t="s">
        <v>428</v>
      </c>
      <c r="D29" s="391"/>
      <c r="E29" s="35">
        <v>62</v>
      </c>
      <c r="F29" s="144">
        <v>33</v>
      </c>
      <c r="G29" s="147">
        <v>5949</v>
      </c>
      <c r="H29" s="35">
        <v>143</v>
      </c>
      <c r="I29" s="35">
        <v>0</v>
      </c>
      <c r="J29" s="35">
        <f t="shared" si="9"/>
        <v>143</v>
      </c>
      <c r="K29" s="35">
        <v>122545</v>
      </c>
      <c r="L29" s="35">
        <f>36448+60326+4177</f>
        <v>100951</v>
      </c>
      <c r="M29" s="35">
        <v>602</v>
      </c>
      <c r="N29" s="35">
        <v>9102</v>
      </c>
      <c r="O29" s="35">
        <v>0</v>
      </c>
      <c r="P29" s="35">
        <v>1847</v>
      </c>
      <c r="Q29" s="147">
        <f t="shared" si="10"/>
        <v>235047</v>
      </c>
      <c r="R29" s="36">
        <f t="shared" si="11"/>
        <v>39.510337871911247</v>
      </c>
      <c r="S29" s="36">
        <f t="shared" si="12"/>
        <v>20.599260379895782</v>
      </c>
      <c r="T29" s="36">
        <f t="shared" si="13"/>
        <v>16.969406622961841</v>
      </c>
      <c r="U29" s="36">
        <f t="shared" si="14"/>
        <v>1.530005042864347</v>
      </c>
      <c r="V29" s="36">
        <f t="shared" si="15"/>
        <v>0</v>
      </c>
      <c r="W29" s="36">
        <f t="shared" si="16"/>
        <v>0.31047234829383091</v>
      </c>
    </row>
    <row r="30" spans="1:24" x14ac:dyDescent="0.2">
      <c r="A30" s="369"/>
      <c r="B30" s="33">
        <v>10</v>
      </c>
      <c r="C30" s="390" t="s">
        <v>435</v>
      </c>
      <c r="D30" s="391"/>
      <c r="E30" s="35">
        <v>62</v>
      </c>
      <c r="F30" s="144">
        <v>38</v>
      </c>
      <c r="G30" s="147">
        <v>7569</v>
      </c>
      <c r="H30" s="35">
        <v>177</v>
      </c>
      <c r="I30" s="35">
        <v>0</v>
      </c>
      <c r="J30" s="35">
        <f t="shared" si="9"/>
        <v>177</v>
      </c>
      <c r="K30" s="35">
        <v>155919</v>
      </c>
      <c r="L30" s="35">
        <f>46375+4177+60326</f>
        <v>110878</v>
      </c>
      <c r="M30" s="35">
        <v>745</v>
      </c>
      <c r="N30" s="35">
        <v>11581</v>
      </c>
      <c r="O30" s="35">
        <v>0</v>
      </c>
      <c r="P30" s="35">
        <f>2350+2044</f>
        <v>4394</v>
      </c>
      <c r="Q30" s="147">
        <f t="shared" si="10"/>
        <v>283517</v>
      </c>
      <c r="R30" s="36">
        <f t="shared" si="11"/>
        <v>37.457656229356587</v>
      </c>
      <c r="S30" s="36">
        <f t="shared" si="12"/>
        <v>20.599682917162109</v>
      </c>
      <c r="T30" s="36">
        <f t="shared" si="13"/>
        <v>14.648962874884397</v>
      </c>
      <c r="U30" s="36">
        <f t="shared" si="14"/>
        <v>1.5300568106751222</v>
      </c>
      <c r="V30" s="36">
        <f t="shared" si="15"/>
        <v>0</v>
      </c>
      <c r="W30" s="36">
        <f t="shared" si="16"/>
        <v>0.58052582903950323</v>
      </c>
    </row>
    <row r="31" spans="1:24" x14ac:dyDescent="0.2">
      <c r="A31" s="369"/>
      <c r="B31" s="33">
        <v>11</v>
      </c>
      <c r="C31" s="390" t="s">
        <v>437</v>
      </c>
      <c r="D31" s="391"/>
      <c r="E31" s="35">
        <v>62</v>
      </c>
      <c r="F31" s="144">
        <v>44</v>
      </c>
      <c r="G31" s="147">
        <v>9056</v>
      </c>
      <c r="H31" s="35">
        <v>27</v>
      </c>
      <c r="I31" s="35">
        <v>191</v>
      </c>
      <c r="J31" s="35">
        <f t="shared" si="9"/>
        <v>218</v>
      </c>
      <c r="K31" s="35">
        <v>186558</v>
      </c>
      <c r="L31" s="35">
        <f>55488+4177+60326</f>
        <v>119991</v>
      </c>
      <c r="M31" s="35">
        <f>114+803</f>
        <v>917</v>
      </c>
      <c r="N31" s="35">
        <v>13855</v>
      </c>
      <c r="O31" s="35">
        <v>0</v>
      </c>
      <c r="P31" s="35">
        <f>2812+2445</f>
        <v>5257</v>
      </c>
      <c r="Q31" s="147">
        <f t="shared" si="10"/>
        <v>326578</v>
      </c>
      <c r="R31" s="36">
        <f t="shared" si="11"/>
        <v>36.062058303886928</v>
      </c>
      <c r="S31" s="36">
        <f t="shared" si="12"/>
        <v>20.60048586572438</v>
      </c>
      <c r="T31" s="36">
        <f t="shared" si="13"/>
        <v>13.249889575971732</v>
      </c>
      <c r="U31" s="36">
        <f t="shared" si="14"/>
        <v>1.5299249116607774</v>
      </c>
      <c r="V31" s="36">
        <f t="shared" si="15"/>
        <v>0</v>
      </c>
      <c r="W31" s="36">
        <f t="shared" si="16"/>
        <v>0.58049911660777387</v>
      </c>
    </row>
    <row r="32" spans="1:24" ht="15" thickBot="1" x14ac:dyDescent="0.25">
      <c r="A32" s="383"/>
      <c r="B32" s="37">
        <v>12</v>
      </c>
      <c r="C32" s="386" t="s">
        <v>439</v>
      </c>
      <c r="D32" s="387"/>
      <c r="E32" s="35">
        <v>62</v>
      </c>
      <c r="F32" s="38">
        <v>42</v>
      </c>
      <c r="G32" s="148">
        <v>7855</v>
      </c>
      <c r="H32" s="38">
        <v>22</v>
      </c>
      <c r="I32" s="38">
        <v>0</v>
      </c>
      <c r="J32" s="38">
        <f t="shared" si="9"/>
        <v>22</v>
      </c>
      <c r="K32" s="38">
        <v>161817</v>
      </c>
      <c r="L32" s="38">
        <f>48128+4177+60326</f>
        <v>112631</v>
      </c>
      <c r="M32" s="38">
        <v>93</v>
      </c>
      <c r="N32" s="38">
        <v>12018</v>
      </c>
      <c r="O32" s="38">
        <v>0</v>
      </c>
      <c r="P32" s="38">
        <f>2439+2121</f>
        <v>4560</v>
      </c>
      <c r="Q32" s="148">
        <f t="shared" si="10"/>
        <v>291119</v>
      </c>
      <c r="R32" s="39">
        <f t="shared" si="11"/>
        <v>37.061616804583068</v>
      </c>
      <c r="S32" s="39">
        <f t="shared" si="12"/>
        <v>20.600509229789942</v>
      </c>
      <c r="T32" s="39">
        <f t="shared" si="13"/>
        <v>14.338765117759388</v>
      </c>
      <c r="U32" s="39">
        <f t="shared" si="14"/>
        <v>1.5299809038828771</v>
      </c>
      <c r="V32" s="39">
        <f t="shared" si="15"/>
        <v>0</v>
      </c>
      <c r="W32" s="39">
        <f t="shared" si="16"/>
        <v>0.58052196053469129</v>
      </c>
    </row>
    <row r="33" spans="1:23" ht="27" customHeight="1" thickTop="1" thickBot="1" x14ac:dyDescent="0.25">
      <c r="A33" s="361" t="s">
        <v>6</v>
      </c>
      <c r="B33" s="362"/>
      <c r="C33" s="362"/>
      <c r="D33" s="363"/>
      <c r="E33" s="40">
        <v>62</v>
      </c>
      <c r="F33" s="40"/>
      <c r="G33" s="40">
        <f>SUM(G21:G32)</f>
        <v>78678</v>
      </c>
      <c r="H33" s="40">
        <f t="shared" ref="H33:Q33" si="17">SUM(H21:H32)</f>
        <v>506</v>
      </c>
      <c r="I33" s="40">
        <f t="shared" si="17"/>
        <v>1028</v>
      </c>
      <c r="J33" s="40">
        <f t="shared" si="17"/>
        <v>1534</v>
      </c>
      <c r="K33" s="40">
        <f t="shared" si="17"/>
        <v>1620759</v>
      </c>
      <c r="L33" s="40">
        <f t="shared" si="17"/>
        <v>1227262</v>
      </c>
      <c r="M33" s="40">
        <f t="shared" si="17"/>
        <v>6209</v>
      </c>
      <c r="N33" s="40">
        <f t="shared" si="17"/>
        <v>94983</v>
      </c>
      <c r="O33" s="40">
        <f t="shared" si="17"/>
        <v>94141</v>
      </c>
      <c r="P33" s="40">
        <f t="shared" si="17"/>
        <v>31039</v>
      </c>
      <c r="Q33" s="40">
        <f t="shared" si="17"/>
        <v>3074393</v>
      </c>
      <c r="R33" s="41">
        <f t="shared" si="11"/>
        <v>39.07563740817001</v>
      </c>
      <c r="S33" s="41">
        <f t="shared" si="12"/>
        <v>20.599900861740259</v>
      </c>
      <c r="T33" s="41">
        <f t="shared" si="13"/>
        <v>15.598540888177126</v>
      </c>
      <c r="U33" s="41">
        <f t="shared" si="14"/>
        <v>1.2072370929611835</v>
      </c>
      <c r="V33" s="41">
        <f t="shared" si="15"/>
        <v>1.1965352449223416</v>
      </c>
      <c r="W33" s="41">
        <f t="shared" si="16"/>
        <v>0.39450672360761585</v>
      </c>
    </row>
    <row r="34" spans="1:23" ht="15.75" thickTop="1" x14ac:dyDescent="0.25">
      <c r="A34" s="47" t="s">
        <v>86</v>
      </c>
      <c r="B34" s="382" t="s">
        <v>96</v>
      </c>
      <c r="C34" s="382"/>
      <c r="D34" s="382"/>
      <c r="E34" s="382"/>
      <c r="F34" s="382"/>
      <c r="G34" s="381" t="s">
        <v>87</v>
      </c>
      <c r="H34" s="381"/>
      <c r="I34" s="380" t="s">
        <v>95</v>
      </c>
      <c r="J34" s="380"/>
      <c r="K34" s="340" t="s">
        <v>88</v>
      </c>
      <c r="L34" s="381" t="s">
        <v>97</v>
      </c>
      <c r="M34" s="381"/>
      <c r="N34" s="381"/>
      <c r="O34" s="381"/>
      <c r="P34" s="67"/>
      <c r="Q34" s="67" t="s">
        <v>92</v>
      </c>
      <c r="S34" s="380" t="s">
        <v>98</v>
      </c>
      <c r="T34" s="380"/>
      <c r="V34" s="25" t="s">
        <v>417</v>
      </c>
    </row>
    <row r="35" spans="1:23" ht="15" thickBot="1" x14ac:dyDescent="0.25">
      <c r="O35" s="312"/>
    </row>
    <row r="36" spans="1:23" ht="52.5" customHeight="1" thickTop="1" thickBot="1" x14ac:dyDescent="0.25">
      <c r="A36" s="384" t="s">
        <v>64</v>
      </c>
      <c r="B36" s="364" t="s">
        <v>0</v>
      </c>
      <c r="C36" s="360" t="s">
        <v>5</v>
      </c>
      <c r="D36" s="360"/>
      <c r="E36" s="360" t="s">
        <v>29</v>
      </c>
      <c r="F36" s="360" t="s">
        <v>30</v>
      </c>
      <c r="G36" s="364" t="s">
        <v>7</v>
      </c>
      <c r="H36" s="357" t="s">
        <v>8</v>
      </c>
      <c r="I36" s="358"/>
      <c r="J36" s="359"/>
      <c r="K36" s="357" t="s">
        <v>11</v>
      </c>
      <c r="L36" s="358"/>
      <c r="M36" s="358"/>
      <c r="N36" s="358"/>
      <c r="O36" s="358"/>
      <c r="P36" s="358"/>
      <c r="Q36" s="359"/>
      <c r="R36" s="357" t="s">
        <v>31</v>
      </c>
      <c r="S36" s="358"/>
      <c r="T36" s="358"/>
      <c r="U36" s="358"/>
      <c r="V36" s="358"/>
      <c r="W36" s="359"/>
    </row>
    <row r="37" spans="1:23" ht="111.75" customHeight="1" thickTop="1" thickBot="1" x14ac:dyDescent="0.25">
      <c r="A37" s="385"/>
      <c r="B37" s="365"/>
      <c r="C37" s="50" t="s">
        <v>3</v>
      </c>
      <c r="D37" s="50" t="s">
        <v>4</v>
      </c>
      <c r="E37" s="360"/>
      <c r="F37" s="360"/>
      <c r="G37" s="365"/>
      <c r="H37" s="50" t="s">
        <v>17</v>
      </c>
      <c r="I37" s="50" t="s">
        <v>68</v>
      </c>
      <c r="J37" s="50" t="s">
        <v>6</v>
      </c>
      <c r="K37" s="50" t="s">
        <v>9</v>
      </c>
      <c r="L37" s="50" t="s">
        <v>10</v>
      </c>
      <c r="M37" s="50" t="s">
        <v>12</v>
      </c>
      <c r="N37" s="50" t="s">
        <v>24</v>
      </c>
      <c r="O37" s="50" t="s">
        <v>25</v>
      </c>
      <c r="P37" s="52" t="s">
        <v>436</v>
      </c>
      <c r="Q37" s="50" t="s">
        <v>23</v>
      </c>
      <c r="R37" s="51" t="s">
        <v>6</v>
      </c>
      <c r="S37" s="51" t="s">
        <v>22</v>
      </c>
      <c r="T37" s="51" t="s">
        <v>20</v>
      </c>
      <c r="U37" s="51" t="s">
        <v>32</v>
      </c>
      <c r="V37" s="51" t="s">
        <v>33</v>
      </c>
      <c r="W37" s="294" t="s">
        <v>386</v>
      </c>
    </row>
    <row r="38" spans="1:23" ht="15" customHeight="1" thickTop="1" x14ac:dyDescent="0.2">
      <c r="A38" s="368" t="s">
        <v>380</v>
      </c>
      <c r="B38" s="287" t="s">
        <v>104</v>
      </c>
      <c r="C38" s="295">
        <v>44197</v>
      </c>
      <c r="D38" s="176">
        <v>44227</v>
      </c>
      <c r="E38" s="143">
        <v>0</v>
      </c>
      <c r="F38" s="143">
        <v>0</v>
      </c>
      <c r="G38" s="146">
        <f>4333+9564</f>
        <v>13897</v>
      </c>
      <c r="H38" s="143">
        <v>0</v>
      </c>
      <c r="I38" s="143">
        <v>0</v>
      </c>
      <c r="J38" s="143">
        <f>+I38+H38</f>
        <v>0</v>
      </c>
      <c r="K38" s="143">
        <f>89260+9564*20.6</f>
        <v>286278.40000000002</v>
      </c>
      <c r="L38" s="143">
        <f>68894+121+15.9*9564</f>
        <v>221082.6</v>
      </c>
      <c r="M38" s="143">
        <v>0</v>
      </c>
      <c r="N38" s="143">
        <f>3510+347+9564*0.89</f>
        <v>12368.960000000001</v>
      </c>
      <c r="O38" s="143">
        <f>6413+14154</f>
        <v>20567</v>
      </c>
      <c r="P38" s="143">
        <f>1345+9564*0.3105</f>
        <v>4314.6219999999994</v>
      </c>
      <c r="Q38" s="146">
        <f>+P38+O38+N38+M38+L38+K38</f>
        <v>544611.58200000005</v>
      </c>
      <c r="R38" s="289">
        <f>+Q38/G38</f>
        <v>39.189147441893937</v>
      </c>
      <c r="S38" s="289">
        <f>+K38/G38</f>
        <v>20.600014391595309</v>
      </c>
      <c r="T38" s="289">
        <f>+L38/G38</f>
        <v>15.908656544577967</v>
      </c>
      <c r="U38" s="289">
        <f>+N38/G38</f>
        <v>0.8900453335252213</v>
      </c>
      <c r="V38" s="289">
        <f>+O38/G38</f>
        <v>1.4799597035331367</v>
      </c>
      <c r="W38" s="289">
        <f>+P38/G38</f>
        <v>0.31047146866230119</v>
      </c>
    </row>
    <row r="39" spans="1:23" x14ac:dyDescent="0.2">
      <c r="A39" s="369"/>
      <c r="B39" s="33" t="s">
        <v>105</v>
      </c>
      <c r="C39" s="70">
        <v>44228</v>
      </c>
      <c r="D39" s="34">
        <v>44255</v>
      </c>
      <c r="E39" s="35">
        <v>0</v>
      </c>
      <c r="F39" s="35">
        <v>0</v>
      </c>
      <c r="G39" s="147">
        <f>4333+1468</f>
        <v>5801</v>
      </c>
      <c r="H39" s="35">
        <v>0</v>
      </c>
      <c r="I39" s="35">
        <v>0</v>
      </c>
      <c r="J39" s="35">
        <f t="shared" ref="J39:J51" si="18">+I39+H39</f>
        <v>0</v>
      </c>
      <c r="K39" s="35">
        <f>89260+1468*20.6</f>
        <v>119500.8</v>
      </c>
      <c r="L39" s="35">
        <f>69015+1468*15.9</f>
        <v>92356.2</v>
      </c>
      <c r="M39" s="35">
        <v>0</v>
      </c>
      <c r="N39" s="35">
        <f>3857+1468*0.89</f>
        <v>5163.5200000000004</v>
      </c>
      <c r="O39" s="35">
        <f>10139+3434</f>
        <v>13573</v>
      </c>
      <c r="P39" s="35">
        <f>1345+1468*0.3105</f>
        <v>1800.8140000000001</v>
      </c>
      <c r="Q39" s="147">
        <f t="shared" ref="Q39:Q51" si="19">+P39+O39+N39+M39+L39+K39</f>
        <v>232394.334</v>
      </c>
      <c r="R39" s="36">
        <f t="shared" ref="R39:R52" si="20">+Q39/G39</f>
        <v>40.06108153766592</v>
      </c>
      <c r="S39" s="36">
        <f t="shared" ref="S39:S52" si="21">+K39/G39</f>
        <v>20.600034476814344</v>
      </c>
      <c r="T39" s="36">
        <f t="shared" ref="T39:T52" si="22">+L39/G39</f>
        <v>15.920737803826926</v>
      </c>
      <c r="U39" s="36">
        <f t="shared" ref="U39:U52" si="23">+N39/G39</f>
        <v>0.89010860196517849</v>
      </c>
      <c r="V39" s="36">
        <f t="shared" ref="V39:V52" si="24">+O39/G39</f>
        <v>2.3397690053439062</v>
      </c>
      <c r="W39" s="36">
        <f t="shared" ref="W39:W52" si="25">+P39/G39</f>
        <v>0.3104316497155663</v>
      </c>
    </row>
    <row r="40" spans="1:23" x14ac:dyDescent="0.2">
      <c r="A40" s="369"/>
      <c r="B40" s="33" t="s">
        <v>106</v>
      </c>
      <c r="C40" s="70">
        <v>44256</v>
      </c>
      <c r="D40" s="34">
        <v>44286</v>
      </c>
      <c r="E40" s="35">
        <v>0</v>
      </c>
      <c r="F40" s="35">
        <v>0</v>
      </c>
      <c r="G40" s="147">
        <v>4333</v>
      </c>
      <c r="H40" s="35">
        <v>0</v>
      </c>
      <c r="I40" s="35">
        <v>0</v>
      </c>
      <c r="J40" s="35">
        <f t="shared" si="18"/>
        <v>0</v>
      </c>
      <c r="K40" s="35">
        <v>89260</v>
      </c>
      <c r="L40" s="35">
        <v>69015</v>
      </c>
      <c r="M40" s="35">
        <v>0</v>
      </c>
      <c r="N40" s="35">
        <v>3857</v>
      </c>
      <c r="O40" s="35">
        <v>13172</v>
      </c>
      <c r="P40" s="35">
        <v>1345</v>
      </c>
      <c r="Q40" s="147">
        <f t="shared" si="19"/>
        <v>176649</v>
      </c>
      <c r="R40" s="36">
        <f t="shared" si="20"/>
        <v>40.768289868451419</v>
      </c>
      <c r="S40" s="36">
        <f t="shared" si="21"/>
        <v>20.600046157396722</v>
      </c>
      <c r="T40" s="36">
        <f t="shared" si="22"/>
        <v>15.92776367412878</v>
      </c>
      <c r="U40" s="36">
        <f t="shared" si="23"/>
        <v>0.89014539579967689</v>
      </c>
      <c r="V40" s="36">
        <f t="shared" si="24"/>
        <v>3.0399261481652435</v>
      </c>
      <c r="W40" s="36">
        <f t="shared" si="25"/>
        <v>0.31040849296099698</v>
      </c>
    </row>
    <row r="41" spans="1:23" x14ac:dyDescent="0.2">
      <c r="A41" s="369"/>
      <c r="B41" s="33" t="s">
        <v>107</v>
      </c>
      <c r="C41" s="70">
        <v>44287</v>
      </c>
      <c r="D41" s="34">
        <v>44316</v>
      </c>
      <c r="E41" s="35">
        <v>0</v>
      </c>
      <c r="F41" s="35">
        <v>0</v>
      </c>
      <c r="G41" s="147">
        <v>4333</v>
      </c>
      <c r="H41" s="35">
        <v>0</v>
      </c>
      <c r="I41" s="35">
        <v>0</v>
      </c>
      <c r="J41" s="35">
        <f t="shared" si="18"/>
        <v>0</v>
      </c>
      <c r="K41" s="35">
        <v>89260</v>
      </c>
      <c r="L41" s="35">
        <f>71005+121</f>
        <v>71126</v>
      </c>
      <c r="M41" s="35">
        <v>0</v>
      </c>
      <c r="N41" s="35">
        <f>3510+347</f>
        <v>3857</v>
      </c>
      <c r="O41" s="35">
        <v>12002</v>
      </c>
      <c r="P41" s="35">
        <v>1345</v>
      </c>
      <c r="Q41" s="147">
        <f t="shared" si="19"/>
        <v>177590</v>
      </c>
      <c r="R41" s="36">
        <f t="shared" si="20"/>
        <v>40.985460420032311</v>
      </c>
      <c r="S41" s="36">
        <f t="shared" si="21"/>
        <v>20.600046157396722</v>
      </c>
      <c r="T41" s="36">
        <f t="shared" si="22"/>
        <v>16.414954996538196</v>
      </c>
      <c r="U41" s="36">
        <f t="shared" si="23"/>
        <v>0.89014539579967689</v>
      </c>
      <c r="V41" s="36">
        <f t="shared" si="24"/>
        <v>2.7699053773367184</v>
      </c>
      <c r="W41" s="36">
        <f t="shared" si="25"/>
        <v>0.31040849296099698</v>
      </c>
    </row>
    <row r="42" spans="1:23" x14ac:dyDescent="0.2">
      <c r="A42" s="369"/>
      <c r="B42" s="33" t="s">
        <v>108</v>
      </c>
      <c r="C42" s="70">
        <v>44317</v>
      </c>
      <c r="D42" s="34">
        <v>44347</v>
      </c>
      <c r="E42" s="35">
        <v>0</v>
      </c>
      <c r="F42" s="35">
        <v>0</v>
      </c>
      <c r="G42" s="147">
        <v>4333</v>
      </c>
      <c r="H42" s="35">
        <v>0</v>
      </c>
      <c r="I42" s="35">
        <v>0</v>
      </c>
      <c r="J42" s="35">
        <f t="shared" si="18"/>
        <v>0</v>
      </c>
      <c r="K42" s="35">
        <v>89260</v>
      </c>
      <c r="L42" s="35">
        <v>71126</v>
      </c>
      <c r="M42" s="35">
        <v>0</v>
      </c>
      <c r="N42" s="35">
        <v>3857</v>
      </c>
      <c r="O42" s="35">
        <v>13996</v>
      </c>
      <c r="P42" s="35">
        <v>1345</v>
      </c>
      <c r="Q42" s="147">
        <f t="shared" si="19"/>
        <v>179584</v>
      </c>
      <c r="R42" s="36">
        <f t="shared" si="20"/>
        <v>41.445649665358872</v>
      </c>
      <c r="S42" s="36">
        <f t="shared" si="21"/>
        <v>20.600046157396722</v>
      </c>
      <c r="T42" s="36">
        <f t="shared" si="22"/>
        <v>16.414954996538196</v>
      </c>
      <c r="U42" s="36">
        <f t="shared" si="23"/>
        <v>0.89014539579967689</v>
      </c>
      <c r="V42" s="36">
        <f t="shared" si="24"/>
        <v>3.2300946226632816</v>
      </c>
      <c r="W42" s="36">
        <f t="shared" si="25"/>
        <v>0.31040849296099698</v>
      </c>
    </row>
    <row r="43" spans="1:23" x14ac:dyDescent="0.2">
      <c r="A43" s="369"/>
      <c r="B43" s="33" t="s">
        <v>109</v>
      </c>
      <c r="C43" s="70">
        <v>44348</v>
      </c>
      <c r="D43" s="34">
        <v>44377</v>
      </c>
      <c r="E43" s="35">
        <v>0</v>
      </c>
      <c r="F43" s="35">
        <v>0</v>
      </c>
      <c r="G43" s="147">
        <v>4333</v>
      </c>
      <c r="H43" s="35">
        <v>0</v>
      </c>
      <c r="I43" s="35">
        <v>0</v>
      </c>
      <c r="J43" s="35">
        <f t="shared" si="18"/>
        <v>0</v>
      </c>
      <c r="K43" s="35">
        <v>89260</v>
      </c>
      <c r="L43" s="35">
        <v>71126</v>
      </c>
      <c r="M43" s="35">
        <v>0</v>
      </c>
      <c r="N43" s="35">
        <v>3857</v>
      </c>
      <c r="O43" s="35">
        <v>7366</v>
      </c>
      <c r="P43" s="35">
        <v>1345</v>
      </c>
      <c r="Q43" s="147">
        <f t="shared" si="19"/>
        <v>172954</v>
      </c>
      <c r="R43" s="36">
        <f t="shared" si="20"/>
        <v>39.915531963997232</v>
      </c>
      <c r="S43" s="36">
        <f t="shared" si="21"/>
        <v>20.600046157396722</v>
      </c>
      <c r="T43" s="36">
        <f t="shared" si="22"/>
        <v>16.414954996538196</v>
      </c>
      <c r="U43" s="36">
        <f t="shared" si="23"/>
        <v>0.89014539579967689</v>
      </c>
      <c r="V43" s="36">
        <f t="shared" si="24"/>
        <v>1.6999769213016387</v>
      </c>
      <c r="W43" s="36">
        <f t="shared" si="25"/>
        <v>0.31040849296099698</v>
      </c>
    </row>
    <row r="44" spans="1:23" x14ac:dyDescent="0.2">
      <c r="A44" s="369"/>
      <c r="B44" s="33" t="s">
        <v>110</v>
      </c>
      <c r="C44" s="70">
        <v>44378</v>
      </c>
      <c r="D44" s="34">
        <v>44408</v>
      </c>
      <c r="E44" s="35">
        <v>0</v>
      </c>
      <c r="F44" s="35">
        <v>0</v>
      </c>
      <c r="G44" s="147">
        <v>4333</v>
      </c>
      <c r="H44" s="35">
        <v>0</v>
      </c>
      <c r="I44" s="35">
        <v>0</v>
      </c>
      <c r="J44" s="35">
        <f t="shared" si="18"/>
        <v>0</v>
      </c>
      <c r="K44" s="35">
        <v>89260</v>
      </c>
      <c r="L44" s="35">
        <v>71126</v>
      </c>
      <c r="M44" s="35">
        <v>0</v>
      </c>
      <c r="N44" s="35">
        <f>6283+347</f>
        <v>6630</v>
      </c>
      <c r="O44" s="35">
        <v>867</v>
      </c>
      <c r="P44" s="35">
        <v>1345</v>
      </c>
      <c r="Q44" s="147">
        <f t="shared" si="19"/>
        <v>169228</v>
      </c>
      <c r="R44" s="36">
        <f t="shared" si="20"/>
        <v>39.055619663051004</v>
      </c>
      <c r="S44" s="36">
        <f t="shared" si="21"/>
        <v>20.600046157396722</v>
      </c>
      <c r="T44" s="36">
        <f t="shared" si="22"/>
        <v>16.414954996538196</v>
      </c>
      <c r="U44" s="36">
        <f t="shared" si="23"/>
        <v>1.5301177013616432</v>
      </c>
      <c r="V44" s="36">
        <f t="shared" si="24"/>
        <v>0.20009231479344564</v>
      </c>
      <c r="W44" s="36">
        <f t="shared" si="25"/>
        <v>0.31040849296099698</v>
      </c>
    </row>
    <row r="45" spans="1:23" x14ac:dyDescent="0.2">
      <c r="A45" s="369"/>
      <c r="B45" s="33" t="s">
        <v>111</v>
      </c>
      <c r="C45" s="161">
        <v>44409</v>
      </c>
      <c r="D45" s="162">
        <v>44439</v>
      </c>
      <c r="E45" s="35">
        <v>0</v>
      </c>
      <c r="F45" s="35">
        <v>0</v>
      </c>
      <c r="G45" s="147">
        <v>4333</v>
      </c>
      <c r="H45" s="35">
        <v>0</v>
      </c>
      <c r="I45" s="35">
        <v>0</v>
      </c>
      <c r="J45" s="35">
        <f t="shared" si="18"/>
        <v>0</v>
      </c>
      <c r="K45" s="35">
        <v>89260</v>
      </c>
      <c r="L45" s="35">
        <v>71126</v>
      </c>
      <c r="M45" s="35">
        <v>0</v>
      </c>
      <c r="N45" s="35">
        <v>6630</v>
      </c>
      <c r="O45" s="35">
        <v>0</v>
      </c>
      <c r="P45" s="35">
        <v>1345</v>
      </c>
      <c r="Q45" s="147">
        <f t="shared" si="19"/>
        <v>168361</v>
      </c>
      <c r="R45" s="36">
        <f t="shared" si="20"/>
        <v>38.85552734825756</v>
      </c>
      <c r="S45" s="36">
        <f t="shared" si="21"/>
        <v>20.600046157396722</v>
      </c>
      <c r="T45" s="36">
        <f t="shared" si="22"/>
        <v>16.414954996538196</v>
      </c>
      <c r="U45" s="36">
        <f t="shared" si="23"/>
        <v>1.5301177013616432</v>
      </c>
      <c r="V45" s="36">
        <f t="shared" si="24"/>
        <v>0</v>
      </c>
      <c r="W45" s="36">
        <f t="shared" si="25"/>
        <v>0.31040849296099698</v>
      </c>
    </row>
    <row r="46" spans="1:23" x14ac:dyDescent="0.2">
      <c r="A46" s="369"/>
      <c r="B46" s="33" t="s">
        <v>112</v>
      </c>
      <c r="C46" s="70">
        <v>44440</v>
      </c>
      <c r="D46" s="34">
        <v>44469</v>
      </c>
      <c r="E46" s="35">
        <v>0</v>
      </c>
      <c r="F46" s="35">
        <v>0</v>
      </c>
      <c r="G46" s="147">
        <v>4333</v>
      </c>
      <c r="H46" s="35">
        <v>0</v>
      </c>
      <c r="I46" s="35">
        <v>0</v>
      </c>
      <c r="J46" s="35">
        <f t="shared" si="18"/>
        <v>0</v>
      </c>
      <c r="K46" s="35">
        <v>89260</v>
      </c>
      <c r="L46" s="35">
        <v>71126</v>
      </c>
      <c r="M46" s="35">
        <v>0</v>
      </c>
      <c r="N46" s="35">
        <v>6630</v>
      </c>
      <c r="O46" s="35">
        <v>0</v>
      </c>
      <c r="P46" s="35">
        <v>1345</v>
      </c>
      <c r="Q46" s="147">
        <f t="shared" si="19"/>
        <v>168361</v>
      </c>
      <c r="R46" s="36">
        <f t="shared" si="20"/>
        <v>38.85552734825756</v>
      </c>
      <c r="S46" s="36">
        <f t="shared" si="21"/>
        <v>20.600046157396722</v>
      </c>
      <c r="T46" s="36">
        <f t="shared" si="22"/>
        <v>16.414954996538196</v>
      </c>
      <c r="U46" s="36">
        <f t="shared" si="23"/>
        <v>1.5301177013616432</v>
      </c>
      <c r="V46" s="36">
        <f t="shared" si="24"/>
        <v>0</v>
      </c>
      <c r="W46" s="36">
        <f t="shared" si="25"/>
        <v>0.31040849296099698</v>
      </c>
    </row>
    <row r="47" spans="1:23" x14ac:dyDescent="0.2">
      <c r="A47" s="369"/>
      <c r="B47" s="33" t="s">
        <v>113</v>
      </c>
      <c r="C47" s="70">
        <v>44470</v>
      </c>
      <c r="D47" s="34">
        <v>44500</v>
      </c>
      <c r="E47" s="35">
        <v>0</v>
      </c>
      <c r="F47" s="35">
        <v>0</v>
      </c>
      <c r="G47" s="147">
        <v>4333</v>
      </c>
      <c r="H47" s="35">
        <v>0</v>
      </c>
      <c r="I47" s="35">
        <v>0</v>
      </c>
      <c r="J47" s="35">
        <f t="shared" si="18"/>
        <v>0</v>
      </c>
      <c r="K47" s="35">
        <v>89260</v>
      </c>
      <c r="L47" s="35">
        <v>71126</v>
      </c>
      <c r="M47" s="35">
        <v>0</v>
      </c>
      <c r="N47" s="35">
        <v>6630</v>
      </c>
      <c r="O47" s="35">
        <v>0</v>
      </c>
      <c r="P47" s="35">
        <f>1345+1170</f>
        <v>2515</v>
      </c>
      <c r="Q47" s="147">
        <f t="shared" si="19"/>
        <v>169531</v>
      </c>
      <c r="R47" s="36">
        <f t="shared" si="20"/>
        <v>39.125548119086083</v>
      </c>
      <c r="S47" s="36">
        <f t="shared" si="21"/>
        <v>20.600046157396722</v>
      </c>
      <c r="T47" s="36">
        <f t="shared" si="22"/>
        <v>16.414954996538196</v>
      </c>
      <c r="U47" s="36">
        <f t="shared" si="23"/>
        <v>1.5301177013616432</v>
      </c>
      <c r="V47" s="36">
        <f t="shared" si="24"/>
        <v>0</v>
      </c>
      <c r="W47" s="36">
        <f t="shared" si="25"/>
        <v>0.58042926378952231</v>
      </c>
    </row>
    <row r="48" spans="1:23" x14ac:dyDescent="0.2">
      <c r="A48" s="369"/>
      <c r="B48" s="33" t="s">
        <v>114</v>
      </c>
      <c r="C48" s="70">
        <v>44501</v>
      </c>
      <c r="D48" s="34">
        <v>44530</v>
      </c>
      <c r="E48" s="35">
        <v>0</v>
      </c>
      <c r="F48" s="35">
        <v>0</v>
      </c>
      <c r="G48" s="147">
        <v>4333</v>
      </c>
      <c r="H48" s="35">
        <v>0</v>
      </c>
      <c r="I48" s="35">
        <v>0</v>
      </c>
      <c r="J48" s="35">
        <f t="shared" si="18"/>
        <v>0</v>
      </c>
      <c r="K48" s="35">
        <v>89260</v>
      </c>
      <c r="L48" s="35">
        <v>71126</v>
      </c>
      <c r="M48" s="35">
        <v>0</v>
      </c>
      <c r="N48" s="35">
        <v>6630</v>
      </c>
      <c r="O48" s="35">
        <v>0</v>
      </c>
      <c r="P48" s="35">
        <f>1345+1170</f>
        <v>2515</v>
      </c>
      <c r="Q48" s="147">
        <f t="shared" si="19"/>
        <v>169531</v>
      </c>
      <c r="R48" s="36">
        <f t="shared" si="20"/>
        <v>39.125548119086083</v>
      </c>
      <c r="S48" s="36">
        <f t="shared" si="21"/>
        <v>20.600046157396722</v>
      </c>
      <c r="T48" s="36">
        <f t="shared" si="22"/>
        <v>16.414954996538196</v>
      </c>
      <c r="U48" s="36">
        <f t="shared" si="23"/>
        <v>1.5301177013616432</v>
      </c>
      <c r="V48" s="36">
        <f t="shared" si="24"/>
        <v>0</v>
      </c>
      <c r="W48" s="36">
        <f t="shared" si="25"/>
        <v>0.58042926378952231</v>
      </c>
    </row>
    <row r="49" spans="1:23" x14ac:dyDescent="0.2">
      <c r="A49" s="369"/>
      <c r="B49" s="33" t="s">
        <v>349</v>
      </c>
      <c r="C49" s="333">
        <v>44531</v>
      </c>
      <c r="D49" s="334">
        <v>44561</v>
      </c>
      <c r="E49" s="38">
        <v>0</v>
      </c>
      <c r="F49" s="38">
        <v>0</v>
      </c>
      <c r="G49" s="148">
        <v>5794</v>
      </c>
      <c r="H49" s="38">
        <v>0</v>
      </c>
      <c r="I49" s="38">
        <v>0</v>
      </c>
      <c r="J49" s="38">
        <f t="shared" si="18"/>
        <v>0</v>
      </c>
      <c r="K49" s="38">
        <v>119356</v>
      </c>
      <c r="L49" s="38">
        <f>16.41*G49</f>
        <v>95079.54</v>
      </c>
      <c r="M49" s="38">
        <v>0</v>
      </c>
      <c r="N49" s="38">
        <f>1.53*G49</f>
        <v>8864.82</v>
      </c>
      <c r="O49" s="38">
        <v>0</v>
      </c>
      <c r="P49" s="38">
        <f>+(0.3105+0.27)*G49</f>
        <v>3363.4169999999999</v>
      </c>
      <c r="Q49" s="148">
        <f t="shared" si="19"/>
        <v>226663.777</v>
      </c>
      <c r="R49" s="39">
        <f t="shared" si="20"/>
        <v>39.120430963065239</v>
      </c>
      <c r="S49" s="39">
        <f t="shared" si="21"/>
        <v>20.599930963065241</v>
      </c>
      <c r="T49" s="39">
        <f t="shared" si="22"/>
        <v>16.41</v>
      </c>
      <c r="U49" s="36">
        <f t="shared" si="23"/>
        <v>1.53</v>
      </c>
      <c r="V49" s="39">
        <f t="shared" si="24"/>
        <v>0</v>
      </c>
      <c r="W49" s="39">
        <f t="shared" si="25"/>
        <v>0.58050000000000002</v>
      </c>
    </row>
    <row r="50" spans="1:23" x14ac:dyDescent="0.2">
      <c r="A50" s="369"/>
      <c r="B50" s="282" t="s">
        <v>438</v>
      </c>
      <c r="C50" s="348">
        <v>44233</v>
      </c>
      <c r="D50" s="349">
        <v>44508</v>
      </c>
      <c r="E50" s="281">
        <v>0</v>
      </c>
      <c r="F50" s="281">
        <v>0</v>
      </c>
      <c r="G50" s="148">
        <v>17472</v>
      </c>
      <c r="H50" s="281">
        <v>0</v>
      </c>
      <c r="I50" s="281">
        <v>0</v>
      </c>
      <c r="J50" s="281">
        <f t="shared" si="18"/>
        <v>0</v>
      </c>
      <c r="K50" s="281">
        <v>359927</v>
      </c>
      <c r="L50" s="281">
        <f>16.2966*G50</f>
        <v>284734.19520000002</v>
      </c>
      <c r="M50" s="281">
        <v>0</v>
      </c>
      <c r="N50" s="281">
        <f>7268+0.08*G50+12319</f>
        <v>20984.760000000002</v>
      </c>
      <c r="O50" s="281">
        <v>24290</v>
      </c>
      <c r="P50" s="281">
        <f>0.3105*G50+687</f>
        <v>6112.0559999999996</v>
      </c>
      <c r="Q50" s="148">
        <f t="shared" si="19"/>
        <v>696048.01120000007</v>
      </c>
      <c r="R50" s="285">
        <f t="shared" ref="R50" si="26">+Q50/G50</f>
        <v>39.837912728937731</v>
      </c>
      <c r="S50" s="285">
        <f t="shared" ref="S50" si="27">+K50/G50</f>
        <v>20.600217490842489</v>
      </c>
      <c r="T50" s="285">
        <f t="shared" ref="T50" si="28">+L50/G50</f>
        <v>16.296600000000002</v>
      </c>
      <c r="U50" s="350">
        <f t="shared" ref="U50" si="29">+N50/G50</f>
        <v>1.2010508241758242</v>
      </c>
      <c r="V50" s="285">
        <f t="shared" ref="V50" si="30">+O50/G50</f>
        <v>1.390224358974359</v>
      </c>
      <c r="W50" s="285">
        <f t="shared" ref="W50" si="31">+P50/G50</f>
        <v>0.34982005494505491</v>
      </c>
    </row>
    <row r="51" spans="1:23" ht="15" thickBot="1" x14ac:dyDescent="0.25">
      <c r="A51" s="383"/>
      <c r="B51" s="282" t="s">
        <v>438</v>
      </c>
      <c r="C51" s="283"/>
      <c r="D51" s="284"/>
      <c r="E51" s="281">
        <v>0</v>
      </c>
      <c r="F51" s="281">
        <v>0</v>
      </c>
      <c r="G51" s="281"/>
      <c r="H51" s="281">
        <v>0</v>
      </c>
      <c r="I51" s="281">
        <v>0</v>
      </c>
      <c r="J51" s="281">
        <f t="shared" si="18"/>
        <v>0</v>
      </c>
      <c r="K51" s="281"/>
      <c r="L51" s="281"/>
      <c r="M51" s="281"/>
      <c r="N51" s="281"/>
      <c r="O51" s="281"/>
      <c r="P51" s="281"/>
      <c r="Q51" s="281">
        <f t="shared" si="19"/>
        <v>0</v>
      </c>
      <c r="R51" s="285" t="e">
        <f t="shared" si="20"/>
        <v>#DIV/0!</v>
      </c>
      <c r="S51" s="285" t="e">
        <f t="shared" si="21"/>
        <v>#DIV/0!</v>
      </c>
      <c r="T51" s="285" t="e">
        <f t="shared" si="22"/>
        <v>#DIV/0!</v>
      </c>
      <c r="U51" s="285" t="e">
        <f t="shared" si="23"/>
        <v>#DIV/0!</v>
      </c>
      <c r="V51" s="285" t="e">
        <f t="shared" si="24"/>
        <v>#DIV/0!</v>
      </c>
      <c r="W51" s="285" t="e">
        <f t="shared" si="25"/>
        <v>#DIV/0!</v>
      </c>
    </row>
    <row r="52" spans="1:23" ht="27" customHeight="1" thickTop="1" thickBot="1" x14ac:dyDescent="0.25">
      <c r="A52" s="361" t="s">
        <v>6</v>
      </c>
      <c r="B52" s="362"/>
      <c r="C52" s="362"/>
      <c r="D52" s="363"/>
      <c r="E52" s="40"/>
      <c r="F52" s="40"/>
      <c r="G52" s="40">
        <f>SUM(G38:G51)</f>
        <v>81961</v>
      </c>
      <c r="H52" s="40">
        <f t="shared" ref="H52:Q52" si="32">SUM(H38:H51)</f>
        <v>0</v>
      </c>
      <c r="I52" s="40">
        <f t="shared" si="32"/>
        <v>0</v>
      </c>
      <c r="J52" s="40">
        <f t="shared" si="32"/>
        <v>0</v>
      </c>
      <c r="K52" s="40">
        <f t="shared" si="32"/>
        <v>1688402.2</v>
      </c>
      <c r="L52" s="40">
        <f t="shared" si="32"/>
        <v>1331275.5352</v>
      </c>
      <c r="M52" s="40">
        <f t="shared" si="32"/>
        <v>0</v>
      </c>
      <c r="N52" s="40">
        <f t="shared" si="32"/>
        <v>95960.060000000027</v>
      </c>
      <c r="O52" s="40">
        <f t="shared" si="32"/>
        <v>105833</v>
      </c>
      <c r="P52" s="40">
        <f t="shared" si="32"/>
        <v>30035.909000000003</v>
      </c>
      <c r="Q52" s="40">
        <f t="shared" si="32"/>
        <v>3251506.7042</v>
      </c>
      <c r="R52" s="41">
        <f t="shared" si="20"/>
        <v>39.671388882517299</v>
      </c>
      <c r="S52" s="41">
        <f t="shared" si="21"/>
        <v>20.600068325179048</v>
      </c>
      <c r="T52" s="41">
        <f t="shared" si="22"/>
        <v>16.242792733129171</v>
      </c>
      <c r="U52" s="41">
        <f t="shared" si="23"/>
        <v>1.1708014787520897</v>
      </c>
      <c r="V52" s="41">
        <f t="shared" si="24"/>
        <v>1.2912604775441978</v>
      </c>
      <c r="W52" s="41">
        <f t="shared" si="25"/>
        <v>0.36646586791278785</v>
      </c>
    </row>
    <row r="53" spans="1:23" ht="15.75" thickTop="1" x14ac:dyDescent="0.25">
      <c r="A53" s="47" t="s">
        <v>86</v>
      </c>
      <c r="B53" s="382" t="s">
        <v>99</v>
      </c>
      <c r="C53" s="382"/>
      <c r="D53" s="382"/>
      <c r="E53" s="382"/>
      <c r="F53" s="382"/>
      <c r="G53" s="381" t="s">
        <v>87</v>
      </c>
      <c r="H53" s="381"/>
      <c r="I53" s="380" t="s">
        <v>101</v>
      </c>
      <c r="J53" s="380"/>
      <c r="K53" s="62" t="s">
        <v>100</v>
      </c>
      <c r="L53" s="381" t="s">
        <v>97</v>
      </c>
      <c r="M53" s="381"/>
      <c r="N53" s="381"/>
      <c r="O53" s="381"/>
      <c r="P53" s="67"/>
      <c r="Q53" s="67" t="s">
        <v>92</v>
      </c>
      <c r="S53" s="380" t="s">
        <v>102</v>
      </c>
      <c r="T53" s="380"/>
      <c r="V53" s="312"/>
    </row>
    <row r="54" spans="1:23" ht="15" thickBot="1" x14ac:dyDescent="0.25"/>
    <row r="55" spans="1:23" ht="52.5" customHeight="1" thickTop="1" thickBot="1" x14ac:dyDescent="0.25">
      <c r="A55" s="384" t="s">
        <v>64</v>
      </c>
      <c r="B55" s="364" t="s">
        <v>0</v>
      </c>
      <c r="C55" s="360" t="s">
        <v>5</v>
      </c>
      <c r="D55" s="360"/>
      <c r="E55" s="360" t="s">
        <v>29</v>
      </c>
      <c r="F55" s="360" t="s">
        <v>30</v>
      </c>
      <c r="G55" s="364" t="s">
        <v>7</v>
      </c>
      <c r="H55" s="357" t="s">
        <v>8</v>
      </c>
      <c r="I55" s="358"/>
      <c r="J55" s="359"/>
      <c r="K55" s="357" t="s">
        <v>11</v>
      </c>
      <c r="L55" s="358"/>
      <c r="M55" s="358"/>
      <c r="N55" s="358"/>
      <c r="O55" s="358"/>
      <c r="P55" s="358"/>
      <c r="Q55" s="359"/>
      <c r="R55" s="357" t="s">
        <v>31</v>
      </c>
      <c r="S55" s="358"/>
      <c r="T55" s="358"/>
      <c r="U55" s="358"/>
      <c r="V55" s="358"/>
      <c r="W55" s="359"/>
    </row>
    <row r="56" spans="1:23" ht="111.75" customHeight="1" thickTop="1" thickBot="1" x14ac:dyDescent="0.25">
      <c r="A56" s="385"/>
      <c r="B56" s="365"/>
      <c r="C56" s="60" t="s">
        <v>3</v>
      </c>
      <c r="D56" s="60" t="s">
        <v>4</v>
      </c>
      <c r="E56" s="360"/>
      <c r="F56" s="360"/>
      <c r="G56" s="365"/>
      <c r="H56" s="60" t="s">
        <v>17</v>
      </c>
      <c r="I56" s="60" t="s">
        <v>68</v>
      </c>
      <c r="J56" s="60" t="s">
        <v>6</v>
      </c>
      <c r="K56" s="60" t="s">
        <v>9</v>
      </c>
      <c r="L56" s="60" t="s">
        <v>10</v>
      </c>
      <c r="M56" s="60" t="s">
        <v>12</v>
      </c>
      <c r="N56" s="60" t="s">
        <v>24</v>
      </c>
      <c r="O56" s="60" t="s">
        <v>25</v>
      </c>
      <c r="P56" s="60" t="s">
        <v>379</v>
      </c>
      <c r="Q56" s="60" t="s">
        <v>23</v>
      </c>
      <c r="R56" s="61" t="s">
        <v>6</v>
      </c>
      <c r="S56" s="61" t="s">
        <v>22</v>
      </c>
      <c r="T56" s="61" t="s">
        <v>20</v>
      </c>
      <c r="U56" s="61" t="s">
        <v>32</v>
      </c>
      <c r="V56" s="61" t="s">
        <v>33</v>
      </c>
      <c r="W56" s="294" t="s">
        <v>386</v>
      </c>
    </row>
    <row r="57" spans="1:23" ht="15" customHeight="1" thickTop="1" x14ac:dyDescent="0.2">
      <c r="A57" s="368" t="s">
        <v>115</v>
      </c>
      <c r="B57" s="29" t="s">
        <v>104</v>
      </c>
      <c r="C57" s="295">
        <v>44197</v>
      </c>
      <c r="D57" s="176">
        <v>44227</v>
      </c>
      <c r="E57" s="31">
        <v>0</v>
      </c>
      <c r="F57" s="31">
        <v>0</v>
      </c>
      <c r="G57" s="146">
        <f>583+732</f>
        <v>1315</v>
      </c>
      <c r="H57" s="31">
        <v>0</v>
      </c>
      <c r="I57" s="31">
        <v>0</v>
      </c>
      <c r="J57" s="31">
        <f>+I57+H57</f>
        <v>0</v>
      </c>
      <c r="K57" s="31">
        <f>12010+732*20.6</f>
        <v>27089.200000000001</v>
      </c>
      <c r="L57" s="31">
        <f>9269+121+15.9*732</f>
        <v>21028.800000000003</v>
      </c>
      <c r="M57" s="31">
        <v>0</v>
      </c>
      <c r="N57" s="31">
        <f>472+47+732*0.89</f>
        <v>1170.48</v>
      </c>
      <c r="O57" s="31">
        <f>863+1083</f>
        <v>1946</v>
      </c>
      <c r="P57" s="31">
        <f>181+0.3105*732</f>
        <v>408.286</v>
      </c>
      <c r="Q57" s="146">
        <f>+P57+O57+N57+M57+L57+K57</f>
        <v>51642.766000000003</v>
      </c>
      <c r="R57" s="32">
        <f>+Q57/G57</f>
        <v>39.272065399239544</v>
      </c>
      <c r="S57" s="32">
        <f>+K57/G57</f>
        <v>20.600152091254753</v>
      </c>
      <c r="T57" s="32">
        <f>+L57/G57</f>
        <v>15.991482889733842</v>
      </c>
      <c r="U57" s="32">
        <f>+N57/G57</f>
        <v>0.89009885931558941</v>
      </c>
      <c r="V57" s="32">
        <f>+O57/G57</f>
        <v>1.4798479087452472</v>
      </c>
      <c r="W57" s="32">
        <f>+P57/G57</f>
        <v>0.31048365019011409</v>
      </c>
    </row>
    <row r="58" spans="1:23" x14ac:dyDescent="0.2">
      <c r="A58" s="369"/>
      <c r="B58" s="33" t="s">
        <v>105</v>
      </c>
      <c r="C58" s="161">
        <v>44228</v>
      </c>
      <c r="D58" s="162">
        <v>44255</v>
      </c>
      <c r="E58" s="35">
        <v>0</v>
      </c>
      <c r="F58" s="35">
        <v>0</v>
      </c>
      <c r="G58" s="147">
        <f>583+605</f>
        <v>1188</v>
      </c>
      <c r="H58" s="35">
        <v>0</v>
      </c>
      <c r="I58" s="35">
        <v>0</v>
      </c>
      <c r="J58" s="35">
        <f t="shared" ref="J58:J69" si="33">+I58+H58</f>
        <v>0</v>
      </c>
      <c r="K58" s="35">
        <f>12010+605*20.6</f>
        <v>24473</v>
      </c>
      <c r="L58" s="35">
        <f>9390+15.9*605</f>
        <v>19009.5</v>
      </c>
      <c r="M58" s="35">
        <v>0</v>
      </c>
      <c r="N58" s="35">
        <f>519+0.89*605</f>
        <v>1057.45</v>
      </c>
      <c r="O58" s="35">
        <f>1364+1415</f>
        <v>2779</v>
      </c>
      <c r="P58" s="35">
        <f>181+0.3105*605</f>
        <v>368.85249999999996</v>
      </c>
      <c r="Q58" s="147">
        <f t="shared" ref="Q58:Q69" si="34">+P58+O58+N58+M58+L58+K58</f>
        <v>47687.802499999998</v>
      </c>
      <c r="R58" s="36">
        <f t="shared" ref="R58:R70" si="35">+Q58/G58</f>
        <v>40.141247895622897</v>
      </c>
      <c r="S58" s="36">
        <f t="shared" ref="S58:S70" si="36">+K58/G58</f>
        <v>20.600168350168349</v>
      </c>
      <c r="T58" s="36">
        <f t="shared" ref="T58:T70" si="37">+L58/G58</f>
        <v>16.001262626262626</v>
      </c>
      <c r="U58" s="36">
        <f t="shared" ref="U58:U70" si="38">+N58/G58</f>
        <v>0.89010942760942768</v>
      </c>
      <c r="V58" s="36">
        <f t="shared" ref="V58:V70" si="39">+O58/G58</f>
        <v>2.3392255892255891</v>
      </c>
      <c r="W58" s="36">
        <f t="shared" ref="W58:W70" si="40">+P58/G58</f>
        <v>0.31048190235690232</v>
      </c>
    </row>
    <row r="59" spans="1:23" x14ac:dyDescent="0.2">
      <c r="A59" s="369"/>
      <c r="B59" s="33" t="s">
        <v>106</v>
      </c>
      <c r="C59" s="161">
        <v>44256</v>
      </c>
      <c r="D59" s="162">
        <v>44286</v>
      </c>
      <c r="E59" s="35">
        <v>0</v>
      </c>
      <c r="F59" s="35">
        <v>0</v>
      </c>
      <c r="G59" s="147">
        <f>583+24</f>
        <v>607</v>
      </c>
      <c r="H59" s="35">
        <v>0</v>
      </c>
      <c r="I59" s="35">
        <v>0</v>
      </c>
      <c r="J59" s="35">
        <f t="shared" si="33"/>
        <v>0</v>
      </c>
      <c r="K59" s="35">
        <f>12010+24*20.6</f>
        <v>12504.4</v>
      </c>
      <c r="L59" s="35">
        <f>9390+24*15.9</f>
        <v>9771.6</v>
      </c>
      <c r="M59" s="35">
        <v>0</v>
      </c>
      <c r="N59" s="35">
        <f>519+24*0.89</f>
        <v>540.36</v>
      </c>
      <c r="O59" s="35">
        <f>1772+72</f>
        <v>1844</v>
      </c>
      <c r="P59" s="35">
        <f>181+24*0.3105</f>
        <v>188.452</v>
      </c>
      <c r="Q59" s="147">
        <f t="shared" si="34"/>
        <v>24848.811999999998</v>
      </c>
      <c r="R59" s="36">
        <f t="shared" si="35"/>
        <v>40.937087314662271</v>
      </c>
      <c r="S59" s="36">
        <f t="shared" si="36"/>
        <v>20.600329489291596</v>
      </c>
      <c r="T59" s="36">
        <f t="shared" si="37"/>
        <v>16.09818780889621</v>
      </c>
      <c r="U59" s="36">
        <f t="shared" si="38"/>
        <v>0.89021416803953879</v>
      </c>
      <c r="V59" s="36">
        <f t="shared" si="39"/>
        <v>3.0378912685337727</v>
      </c>
      <c r="W59" s="36">
        <f t="shared" si="40"/>
        <v>0.31046457990115323</v>
      </c>
    </row>
    <row r="60" spans="1:23" x14ac:dyDescent="0.2">
      <c r="A60" s="369"/>
      <c r="B60" s="33" t="s">
        <v>107</v>
      </c>
      <c r="C60" s="70">
        <v>44287</v>
      </c>
      <c r="D60" s="34">
        <v>44316</v>
      </c>
      <c r="E60" s="35">
        <v>0</v>
      </c>
      <c r="F60" s="35">
        <v>0</v>
      </c>
      <c r="G60" s="147">
        <v>583</v>
      </c>
      <c r="H60" s="35">
        <v>0</v>
      </c>
      <c r="I60" s="35">
        <v>0</v>
      </c>
      <c r="J60" s="35">
        <f t="shared" si="33"/>
        <v>0</v>
      </c>
      <c r="K60" s="35">
        <v>12010</v>
      </c>
      <c r="L60" s="35">
        <f>1625+7929+121</f>
        <v>9675</v>
      </c>
      <c r="M60" s="35">
        <v>0</v>
      </c>
      <c r="N60" s="35">
        <f>0.89*G60</f>
        <v>518.87</v>
      </c>
      <c r="O60" s="35">
        <v>1615</v>
      </c>
      <c r="P60" s="35">
        <v>181</v>
      </c>
      <c r="Q60" s="147">
        <f t="shared" si="34"/>
        <v>23999.87</v>
      </c>
      <c r="R60" s="36">
        <f t="shared" si="35"/>
        <v>41.166157804459687</v>
      </c>
      <c r="S60" s="36">
        <f t="shared" si="36"/>
        <v>20.600343053173241</v>
      </c>
      <c r="T60" s="36">
        <f t="shared" si="37"/>
        <v>16.595197255574615</v>
      </c>
      <c r="U60" s="36">
        <f t="shared" si="38"/>
        <v>0.89</v>
      </c>
      <c r="V60" s="36">
        <f t="shared" si="39"/>
        <v>2.770154373927959</v>
      </c>
      <c r="W60" s="36">
        <f t="shared" si="40"/>
        <v>0.31046312178387653</v>
      </c>
    </row>
    <row r="61" spans="1:23" x14ac:dyDescent="0.2">
      <c r="A61" s="369"/>
      <c r="B61" s="33" t="s">
        <v>108</v>
      </c>
      <c r="C61" s="161">
        <v>44317</v>
      </c>
      <c r="D61" s="162">
        <v>44347</v>
      </c>
      <c r="E61" s="144">
        <v>0</v>
      </c>
      <c r="F61" s="144">
        <v>0</v>
      </c>
      <c r="G61" s="147">
        <v>583</v>
      </c>
      <c r="H61" s="35">
        <v>0</v>
      </c>
      <c r="I61" s="35">
        <v>0</v>
      </c>
      <c r="J61" s="35">
        <f t="shared" si="33"/>
        <v>0</v>
      </c>
      <c r="K61" s="35">
        <v>12010</v>
      </c>
      <c r="L61" s="35">
        <f>9554+121</f>
        <v>9675</v>
      </c>
      <c r="M61" s="35">
        <v>0</v>
      </c>
      <c r="N61" s="35">
        <v>519</v>
      </c>
      <c r="O61" s="35">
        <v>1883</v>
      </c>
      <c r="P61" s="35">
        <v>181</v>
      </c>
      <c r="Q61" s="147">
        <f t="shared" si="34"/>
        <v>24268</v>
      </c>
      <c r="R61" s="36">
        <f t="shared" si="35"/>
        <v>41.626072041166381</v>
      </c>
      <c r="S61" s="36">
        <f t="shared" si="36"/>
        <v>20.600343053173241</v>
      </c>
      <c r="T61" s="36">
        <f t="shared" si="37"/>
        <v>16.595197255574615</v>
      </c>
      <c r="U61" s="36">
        <f t="shared" si="38"/>
        <v>0.89022298456260718</v>
      </c>
      <c r="V61" s="36">
        <f t="shared" si="39"/>
        <v>3.229845626072041</v>
      </c>
      <c r="W61" s="36">
        <f t="shared" si="40"/>
        <v>0.31046312178387653</v>
      </c>
    </row>
    <row r="62" spans="1:23" x14ac:dyDescent="0.2">
      <c r="A62" s="369"/>
      <c r="B62" s="33" t="s">
        <v>109</v>
      </c>
      <c r="C62" s="70">
        <v>44348</v>
      </c>
      <c r="D62" s="34">
        <v>44377</v>
      </c>
      <c r="E62" s="35">
        <v>0</v>
      </c>
      <c r="F62" s="35">
        <v>0</v>
      </c>
      <c r="G62" s="147">
        <v>583</v>
      </c>
      <c r="H62" s="35">
        <v>0</v>
      </c>
      <c r="I62" s="35">
        <v>0</v>
      </c>
      <c r="J62" s="35">
        <f t="shared" si="33"/>
        <v>0</v>
      </c>
      <c r="K62" s="35">
        <v>12010</v>
      </c>
      <c r="L62" s="35">
        <v>9675</v>
      </c>
      <c r="M62" s="35">
        <v>0</v>
      </c>
      <c r="N62" s="35">
        <v>519</v>
      </c>
      <c r="O62" s="35">
        <v>991</v>
      </c>
      <c r="P62" s="35">
        <v>181</v>
      </c>
      <c r="Q62" s="147">
        <f t="shared" si="34"/>
        <v>23376</v>
      </c>
      <c r="R62" s="36">
        <f t="shared" si="35"/>
        <v>40.096054888507716</v>
      </c>
      <c r="S62" s="36">
        <f t="shared" si="36"/>
        <v>20.600343053173241</v>
      </c>
      <c r="T62" s="36">
        <f t="shared" si="37"/>
        <v>16.595197255574615</v>
      </c>
      <c r="U62" s="36">
        <f t="shared" si="38"/>
        <v>0.89022298456260718</v>
      </c>
      <c r="V62" s="36">
        <f t="shared" si="39"/>
        <v>1.6998284734133791</v>
      </c>
      <c r="W62" s="36">
        <f t="shared" si="40"/>
        <v>0.31046312178387653</v>
      </c>
    </row>
    <row r="63" spans="1:23" x14ac:dyDescent="0.2">
      <c r="A63" s="369"/>
      <c r="B63" s="33" t="s">
        <v>110</v>
      </c>
      <c r="C63" s="70">
        <v>44378</v>
      </c>
      <c r="D63" s="34">
        <v>44408</v>
      </c>
      <c r="E63" s="35">
        <v>0</v>
      </c>
      <c r="F63" s="35">
        <v>0</v>
      </c>
      <c r="G63" s="147">
        <v>583</v>
      </c>
      <c r="H63" s="35">
        <v>0</v>
      </c>
      <c r="I63" s="35">
        <v>0</v>
      </c>
      <c r="J63" s="35">
        <f t="shared" si="33"/>
        <v>0</v>
      </c>
      <c r="K63" s="35">
        <v>12010</v>
      </c>
      <c r="L63" s="35">
        <v>9675</v>
      </c>
      <c r="M63" s="35">
        <v>0</v>
      </c>
      <c r="N63" s="35">
        <f>845+47</f>
        <v>892</v>
      </c>
      <c r="O63" s="35">
        <v>117</v>
      </c>
      <c r="P63" s="35">
        <v>181</v>
      </c>
      <c r="Q63" s="147">
        <f t="shared" si="34"/>
        <v>22875</v>
      </c>
      <c r="R63" s="36">
        <f t="shared" si="35"/>
        <v>39.236706689536881</v>
      </c>
      <c r="S63" s="36">
        <f t="shared" si="36"/>
        <v>20.600343053173241</v>
      </c>
      <c r="T63" s="36">
        <f t="shared" si="37"/>
        <v>16.595197255574615</v>
      </c>
      <c r="U63" s="36">
        <f t="shared" si="38"/>
        <v>1.5300171526586621</v>
      </c>
      <c r="V63" s="36">
        <f t="shared" si="39"/>
        <v>0.20068610634648371</v>
      </c>
      <c r="W63" s="36">
        <f t="shared" si="40"/>
        <v>0.31046312178387653</v>
      </c>
    </row>
    <row r="64" spans="1:23" x14ac:dyDescent="0.2">
      <c r="A64" s="369"/>
      <c r="B64" s="33" t="s">
        <v>111</v>
      </c>
      <c r="C64" s="70">
        <v>44409</v>
      </c>
      <c r="D64" s="34">
        <v>44439</v>
      </c>
      <c r="E64" s="35">
        <v>0</v>
      </c>
      <c r="F64" s="35">
        <v>0</v>
      </c>
      <c r="G64" s="147">
        <v>583</v>
      </c>
      <c r="H64" s="35">
        <v>0</v>
      </c>
      <c r="I64" s="35">
        <v>0</v>
      </c>
      <c r="J64" s="35">
        <f t="shared" si="33"/>
        <v>0</v>
      </c>
      <c r="K64" s="35">
        <v>12010</v>
      </c>
      <c r="L64" s="35">
        <v>9675</v>
      </c>
      <c r="M64" s="35">
        <v>0</v>
      </c>
      <c r="N64" s="35">
        <v>892</v>
      </c>
      <c r="O64" s="35">
        <v>0</v>
      </c>
      <c r="P64" s="35">
        <v>181</v>
      </c>
      <c r="Q64" s="147">
        <f t="shared" si="34"/>
        <v>22758</v>
      </c>
      <c r="R64" s="36">
        <f t="shared" si="35"/>
        <v>39.036020583190393</v>
      </c>
      <c r="S64" s="36">
        <f t="shared" si="36"/>
        <v>20.600343053173241</v>
      </c>
      <c r="T64" s="36">
        <f t="shared" si="37"/>
        <v>16.595197255574615</v>
      </c>
      <c r="U64" s="36">
        <f t="shared" si="38"/>
        <v>1.5300171526586621</v>
      </c>
      <c r="V64" s="36">
        <f t="shared" si="39"/>
        <v>0</v>
      </c>
      <c r="W64" s="36">
        <f t="shared" si="40"/>
        <v>0.31046312178387653</v>
      </c>
    </row>
    <row r="65" spans="1:23" x14ac:dyDescent="0.2">
      <c r="A65" s="369"/>
      <c r="B65" s="33" t="s">
        <v>112</v>
      </c>
      <c r="C65" s="70">
        <v>44440</v>
      </c>
      <c r="D65" s="34">
        <v>44469</v>
      </c>
      <c r="E65" s="35">
        <v>0</v>
      </c>
      <c r="F65" s="35">
        <v>0</v>
      </c>
      <c r="G65" s="147">
        <v>583</v>
      </c>
      <c r="H65" s="35">
        <v>0</v>
      </c>
      <c r="I65" s="35">
        <v>0</v>
      </c>
      <c r="J65" s="35">
        <f t="shared" si="33"/>
        <v>0</v>
      </c>
      <c r="K65" s="35">
        <v>12010</v>
      </c>
      <c r="L65" s="35">
        <v>9675</v>
      </c>
      <c r="M65" s="35">
        <v>0</v>
      </c>
      <c r="N65" s="35">
        <v>892</v>
      </c>
      <c r="O65" s="35">
        <v>0</v>
      </c>
      <c r="P65" s="35">
        <v>181</v>
      </c>
      <c r="Q65" s="147">
        <f t="shared" si="34"/>
        <v>22758</v>
      </c>
      <c r="R65" s="36">
        <f t="shared" si="35"/>
        <v>39.036020583190393</v>
      </c>
      <c r="S65" s="36">
        <f t="shared" si="36"/>
        <v>20.600343053173241</v>
      </c>
      <c r="T65" s="36">
        <f t="shared" si="37"/>
        <v>16.595197255574615</v>
      </c>
      <c r="U65" s="36">
        <f t="shared" si="38"/>
        <v>1.5300171526586621</v>
      </c>
      <c r="V65" s="36">
        <f t="shared" si="39"/>
        <v>0</v>
      </c>
      <c r="W65" s="36">
        <f t="shared" si="40"/>
        <v>0.31046312178387653</v>
      </c>
    </row>
    <row r="66" spans="1:23" x14ac:dyDescent="0.2">
      <c r="A66" s="369"/>
      <c r="B66" s="33" t="s">
        <v>113</v>
      </c>
      <c r="C66" s="70">
        <v>44470</v>
      </c>
      <c r="D66" s="34">
        <v>44500</v>
      </c>
      <c r="E66" s="35">
        <v>0</v>
      </c>
      <c r="F66" s="35">
        <v>0</v>
      </c>
      <c r="G66" s="147">
        <v>583</v>
      </c>
      <c r="H66" s="35">
        <v>0</v>
      </c>
      <c r="I66" s="35">
        <v>0</v>
      </c>
      <c r="J66" s="35">
        <f t="shared" si="33"/>
        <v>0</v>
      </c>
      <c r="K66" s="35">
        <v>12010</v>
      </c>
      <c r="L66" s="35">
        <v>9675</v>
      </c>
      <c r="M66" s="35">
        <v>0</v>
      </c>
      <c r="N66" s="35">
        <v>892</v>
      </c>
      <c r="O66" s="35">
        <v>0</v>
      </c>
      <c r="P66" s="35">
        <f>181+157</f>
        <v>338</v>
      </c>
      <c r="Q66" s="147">
        <f t="shared" si="34"/>
        <v>22915</v>
      </c>
      <c r="R66" s="36">
        <f t="shared" si="35"/>
        <v>39.305317324185246</v>
      </c>
      <c r="S66" s="36">
        <f t="shared" si="36"/>
        <v>20.600343053173241</v>
      </c>
      <c r="T66" s="36">
        <f t="shared" si="37"/>
        <v>16.595197255574615</v>
      </c>
      <c r="U66" s="36">
        <f t="shared" si="38"/>
        <v>1.5300171526586621</v>
      </c>
      <c r="V66" s="36">
        <f t="shared" si="39"/>
        <v>0</v>
      </c>
      <c r="W66" s="36">
        <f t="shared" si="40"/>
        <v>0.57975986277873071</v>
      </c>
    </row>
    <row r="67" spans="1:23" x14ac:dyDescent="0.2">
      <c r="A67" s="369"/>
      <c r="B67" s="33" t="s">
        <v>114</v>
      </c>
      <c r="C67" s="70">
        <v>44501</v>
      </c>
      <c r="D67" s="34">
        <v>44530</v>
      </c>
      <c r="E67" s="35">
        <v>0</v>
      </c>
      <c r="F67" s="35">
        <v>0</v>
      </c>
      <c r="G67" s="147">
        <v>583</v>
      </c>
      <c r="H67" s="35">
        <v>0</v>
      </c>
      <c r="I67" s="35">
        <v>0</v>
      </c>
      <c r="J67" s="35">
        <f t="shared" si="33"/>
        <v>0</v>
      </c>
      <c r="K67" s="35">
        <v>12010</v>
      </c>
      <c r="L67" s="35">
        <v>9675</v>
      </c>
      <c r="M67" s="35">
        <v>0</v>
      </c>
      <c r="N67" s="35">
        <v>892</v>
      </c>
      <c r="O67" s="35">
        <v>0</v>
      </c>
      <c r="P67" s="35">
        <f>181+157</f>
        <v>338</v>
      </c>
      <c r="Q67" s="147">
        <f t="shared" si="34"/>
        <v>22915</v>
      </c>
      <c r="R67" s="36">
        <f t="shared" si="35"/>
        <v>39.305317324185246</v>
      </c>
      <c r="S67" s="36">
        <f t="shared" si="36"/>
        <v>20.600343053173241</v>
      </c>
      <c r="T67" s="36">
        <f t="shared" si="37"/>
        <v>16.595197255574615</v>
      </c>
      <c r="U67" s="36">
        <f t="shared" si="38"/>
        <v>1.5300171526586621</v>
      </c>
      <c r="V67" s="36">
        <f t="shared" si="39"/>
        <v>0</v>
      </c>
      <c r="W67" s="36">
        <f t="shared" si="40"/>
        <v>0.57975986277873071</v>
      </c>
    </row>
    <row r="68" spans="1:23" x14ac:dyDescent="0.2">
      <c r="A68" s="369"/>
      <c r="B68" s="33" t="s">
        <v>349</v>
      </c>
      <c r="C68" s="333">
        <v>44531</v>
      </c>
      <c r="D68" s="334">
        <v>44561</v>
      </c>
      <c r="E68" s="38">
        <v>0</v>
      </c>
      <c r="F68" s="38">
        <v>0</v>
      </c>
      <c r="G68" s="148">
        <v>583</v>
      </c>
      <c r="H68" s="38">
        <v>0</v>
      </c>
      <c r="I68" s="38">
        <v>0</v>
      </c>
      <c r="J68" s="38">
        <f t="shared" si="33"/>
        <v>0</v>
      </c>
      <c r="K68" s="35">
        <v>12010</v>
      </c>
      <c r="L68" s="35">
        <v>9675</v>
      </c>
      <c r="M68" s="35">
        <v>0</v>
      </c>
      <c r="N68" s="35">
        <v>892</v>
      </c>
      <c r="O68" s="35">
        <v>0</v>
      </c>
      <c r="P68" s="35">
        <f>181+157</f>
        <v>338</v>
      </c>
      <c r="Q68" s="148">
        <f t="shared" si="34"/>
        <v>22915</v>
      </c>
      <c r="R68" s="39">
        <f t="shared" si="35"/>
        <v>39.305317324185246</v>
      </c>
      <c r="S68" s="39">
        <f t="shared" si="36"/>
        <v>20.600343053173241</v>
      </c>
      <c r="T68" s="39">
        <f t="shared" si="37"/>
        <v>16.595197255574615</v>
      </c>
      <c r="U68" s="36">
        <f t="shared" si="38"/>
        <v>1.5300171526586621</v>
      </c>
      <c r="V68" s="39">
        <f t="shared" si="39"/>
        <v>0</v>
      </c>
      <c r="W68" s="39">
        <f t="shared" si="40"/>
        <v>0.57975986277873071</v>
      </c>
    </row>
    <row r="69" spans="1:23" ht="15" thickBot="1" x14ac:dyDescent="0.25">
      <c r="A69" s="383"/>
      <c r="B69" s="71" t="s">
        <v>438</v>
      </c>
      <c r="C69" s="72"/>
      <c r="D69" s="73"/>
      <c r="E69" s="74">
        <v>0</v>
      </c>
      <c r="F69" s="74">
        <v>0</v>
      </c>
      <c r="G69" s="193"/>
      <c r="H69" s="74">
        <v>0</v>
      </c>
      <c r="I69" s="74">
        <v>0</v>
      </c>
      <c r="J69" s="74">
        <f t="shared" si="33"/>
        <v>0</v>
      </c>
      <c r="K69" s="74"/>
      <c r="L69" s="74"/>
      <c r="M69" s="74"/>
      <c r="N69" s="74"/>
      <c r="O69" s="74"/>
      <c r="P69" s="74"/>
      <c r="Q69" s="193">
        <f t="shared" si="34"/>
        <v>0</v>
      </c>
      <c r="R69" s="75" t="e">
        <f t="shared" si="35"/>
        <v>#DIV/0!</v>
      </c>
      <c r="S69" s="75" t="e">
        <f t="shared" si="36"/>
        <v>#DIV/0!</v>
      </c>
      <c r="T69" s="75" t="e">
        <f t="shared" si="37"/>
        <v>#DIV/0!</v>
      </c>
      <c r="U69" s="75" t="e">
        <f t="shared" si="38"/>
        <v>#DIV/0!</v>
      </c>
      <c r="V69" s="75" t="e">
        <f t="shared" si="39"/>
        <v>#DIV/0!</v>
      </c>
      <c r="W69" s="75" t="e">
        <f t="shared" si="40"/>
        <v>#DIV/0!</v>
      </c>
    </row>
    <row r="70" spans="1:23" ht="27" customHeight="1" thickTop="1" thickBot="1" x14ac:dyDescent="0.25">
      <c r="A70" s="361" t="s">
        <v>6</v>
      </c>
      <c r="B70" s="362"/>
      <c r="C70" s="362"/>
      <c r="D70" s="363"/>
      <c r="E70" s="40"/>
      <c r="F70" s="40"/>
      <c r="G70" s="40">
        <f>SUM(G57:G69)</f>
        <v>8357</v>
      </c>
      <c r="H70" s="40">
        <f t="shared" ref="H70:Q70" si="41">SUM(H57:H69)</f>
        <v>0</v>
      </c>
      <c r="I70" s="40">
        <f t="shared" si="41"/>
        <v>0</v>
      </c>
      <c r="J70" s="40">
        <f t="shared" si="41"/>
        <v>0</v>
      </c>
      <c r="K70" s="40">
        <f t="shared" si="41"/>
        <v>172156.6</v>
      </c>
      <c r="L70" s="40">
        <f t="shared" si="41"/>
        <v>136884.9</v>
      </c>
      <c r="M70" s="40">
        <f t="shared" si="41"/>
        <v>0</v>
      </c>
      <c r="N70" s="40">
        <f t="shared" si="41"/>
        <v>9677.16</v>
      </c>
      <c r="O70" s="40">
        <f t="shared" si="41"/>
        <v>11175</v>
      </c>
      <c r="P70" s="40">
        <f t="shared" si="41"/>
        <v>3065.5905000000002</v>
      </c>
      <c r="Q70" s="40">
        <f t="shared" si="41"/>
        <v>332959.25049999997</v>
      </c>
      <c r="R70" s="41">
        <f t="shared" si="35"/>
        <v>39.841958896733274</v>
      </c>
      <c r="S70" s="41">
        <f t="shared" si="36"/>
        <v>20.600287184396315</v>
      </c>
      <c r="T70" s="41">
        <f t="shared" si="37"/>
        <v>16.379669737944237</v>
      </c>
      <c r="U70" s="41">
        <f t="shared" si="38"/>
        <v>1.1579705635993778</v>
      </c>
      <c r="V70" s="41">
        <f t="shared" si="39"/>
        <v>1.3372023453392365</v>
      </c>
      <c r="W70" s="41">
        <f t="shared" si="40"/>
        <v>0.36682906545411037</v>
      </c>
    </row>
    <row r="71" spans="1:23" ht="15.75" thickTop="1" x14ac:dyDescent="0.25">
      <c r="A71" s="47" t="s">
        <v>86</v>
      </c>
      <c r="B71" s="382" t="s">
        <v>116</v>
      </c>
      <c r="C71" s="382"/>
      <c r="D71" s="382"/>
      <c r="E71" s="382"/>
      <c r="F71" s="382"/>
      <c r="G71" s="381" t="s">
        <v>87</v>
      </c>
      <c r="H71" s="381"/>
      <c r="I71" s="380" t="s">
        <v>118</v>
      </c>
      <c r="J71" s="380"/>
      <c r="K71" s="62" t="s">
        <v>100</v>
      </c>
      <c r="L71" s="381" t="s">
        <v>97</v>
      </c>
      <c r="M71" s="381"/>
      <c r="N71" s="381"/>
      <c r="O71" s="381"/>
      <c r="P71" s="67"/>
      <c r="Q71" s="67" t="s">
        <v>92</v>
      </c>
      <c r="S71" s="380" t="s">
        <v>117</v>
      </c>
      <c r="T71" s="380"/>
      <c r="V71" s="306" t="s">
        <v>390</v>
      </c>
    </row>
    <row r="72" spans="1:23" ht="15" thickBot="1" x14ac:dyDescent="0.25"/>
    <row r="73" spans="1:23" ht="52.5" customHeight="1" thickTop="1" thickBot="1" x14ac:dyDescent="0.25">
      <c r="A73" s="384" t="s">
        <v>64</v>
      </c>
      <c r="B73" s="364" t="s">
        <v>0</v>
      </c>
      <c r="C73" s="360" t="s">
        <v>5</v>
      </c>
      <c r="D73" s="360"/>
      <c r="E73" s="360" t="s">
        <v>29</v>
      </c>
      <c r="F73" s="360" t="s">
        <v>30</v>
      </c>
      <c r="G73" s="364" t="s">
        <v>7</v>
      </c>
      <c r="H73" s="357" t="s">
        <v>8</v>
      </c>
      <c r="I73" s="358"/>
      <c r="J73" s="359"/>
      <c r="K73" s="357" t="s">
        <v>11</v>
      </c>
      <c r="L73" s="358"/>
      <c r="M73" s="358"/>
      <c r="N73" s="358"/>
      <c r="O73" s="358"/>
      <c r="P73" s="358"/>
      <c r="Q73" s="359"/>
      <c r="R73" s="357" t="s">
        <v>31</v>
      </c>
      <c r="S73" s="358"/>
      <c r="T73" s="358"/>
      <c r="U73" s="358"/>
      <c r="V73" s="358"/>
      <c r="W73" s="359"/>
    </row>
    <row r="74" spans="1:23" ht="111.75" customHeight="1" thickTop="1" thickBot="1" x14ac:dyDescent="0.25">
      <c r="A74" s="385"/>
      <c r="B74" s="365"/>
      <c r="C74" s="60" t="s">
        <v>3</v>
      </c>
      <c r="D74" s="60" t="s">
        <v>4</v>
      </c>
      <c r="E74" s="360"/>
      <c r="F74" s="360"/>
      <c r="G74" s="365"/>
      <c r="H74" s="60" t="s">
        <v>17</v>
      </c>
      <c r="I74" s="60" t="s">
        <v>68</v>
      </c>
      <c r="J74" s="60" t="s">
        <v>6</v>
      </c>
      <c r="K74" s="60" t="s">
        <v>9</v>
      </c>
      <c r="L74" s="60" t="s">
        <v>10</v>
      </c>
      <c r="M74" s="60" t="s">
        <v>12</v>
      </c>
      <c r="N74" s="60" t="s">
        <v>24</v>
      </c>
      <c r="O74" s="60" t="s">
        <v>25</v>
      </c>
      <c r="P74" s="60" t="s">
        <v>436</v>
      </c>
      <c r="Q74" s="60" t="s">
        <v>23</v>
      </c>
      <c r="R74" s="61" t="s">
        <v>6</v>
      </c>
      <c r="S74" s="61" t="s">
        <v>22</v>
      </c>
      <c r="T74" s="61" t="s">
        <v>20</v>
      </c>
      <c r="U74" s="61" t="s">
        <v>32</v>
      </c>
      <c r="V74" s="61" t="s">
        <v>33</v>
      </c>
      <c r="W74" s="294" t="s">
        <v>386</v>
      </c>
    </row>
    <row r="75" spans="1:23" ht="15" customHeight="1" thickTop="1" x14ac:dyDescent="0.2">
      <c r="A75" s="368" t="s">
        <v>119</v>
      </c>
      <c r="B75" s="287" t="s">
        <v>104</v>
      </c>
      <c r="C75" s="295">
        <v>44197</v>
      </c>
      <c r="D75" s="176">
        <v>44227</v>
      </c>
      <c r="E75" s="143">
        <v>0</v>
      </c>
      <c r="F75" s="143">
        <v>0</v>
      </c>
      <c r="G75" s="146">
        <v>500</v>
      </c>
      <c r="H75" s="143">
        <v>0</v>
      </c>
      <c r="I75" s="143">
        <v>0</v>
      </c>
      <c r="J75" s="144">
        <f t="shared" ref="J75:J87" si="42">+I75+H75</f>
        <v>0</v>
      </c>
      <c r="K75" s="143">
        <v>10300</v>
      </c>
      <c r="L75" s="143">
        <f>7950+121</f>
        <v>8071</v>
      </c>
      <c r="M75" s="143">
        <v>0</v>
      </c>
      <c r="N75" s="143">
        <v>445</v>
      </c>
      <c r="O75" s="143">
        <v>740</v>
      </c>
      <c r="P75" s="143">
        <v>155</v>
      </c>
      <c r="Q75" s="146">
        <f>+P75+O75+N75+M75+L75+K75</f>
        <v>19711</v>
      </c>
      <c r="R75" s="289">
        <f>+Q75/G75</f>
        <v>39.421999999999997</v>
      </c>
      <c r="S75" s="289">
        <f>+K75/G75</f>
        <v>20.6</v>
      </c>
      <c r="T75" s="289">
        <f>+L75/G75</f>
        <v>16.141999999999999</v>
      </c>
      <c r="U75" s="289">
        <f>+N75/G75</f>
        <v>0.89</v>
      </c>
      <c r="V75" s="289">
        <f>+O75/G75</f>
        <v>1.48</v>
      </c>
      <c r="W75" s="289">
        <f>+P75/G75</f>
        <v>0.31</v>
      </c>
    </row>
    <row r="76" spans="1:23" x14ac:dyDescent="0.2">
      <c r="A76" s="369"/>
      <c r="B76" s="33" t="s">
        <v>105</v>
      </c>
      <c r="C76" s="70">
        <v>44228</v>
      </c>
      <c r="D76" s="34">
        <v>44255</v>
      </c>
      <c r="E76" s="35">
        <v>0</v>
      </c>
      <c r="F76" s="35">
        <v>0</v>
      </c>
      <c r="G76" s="147">
        <f>500-45</f>
        <v>455</v>
      </c>
      <c r="H76" s="35">
        <v>0</v>
      </c>
      <c r="I76" s="35">
        <v>0</v>
      </c>
      <c r="J76" s="35">
        <f t="shared" si="42"/>
        <v>0</v>
      </c>
      <c r="K76" s="35">
        <f>10300-931</f>
        <v>9369</v>
      </c>
      <c r="L76" s="35">
        <f>7230+121</f>
        <v>7351</v>
      </c>
      <c r="M76" s="35">
        <v>0</v>
      </c>
      <c r="N76" s="35">
        <f>368+37-67</f>
        <v>338</v>
      </c>
      <c r="O76" s="35">
        <v>1170</v>
      </c>
      <c r="P76" s="35">
        <v>141</v>
      </c>
      <c r="Q76" s="147">
        <f t="shared" ref="Q76:Q87" si="43">+P76+O76+N76+M76+L76+K76</f>
        <v>18369</v>
      </c>
      <c r="R76" s="36">
        <f t="shared" ref="R76:R88" si="44">+Q76/G76</f>
        <v>40.371428571428574</v>
      </c>
      <c r="S76" s="36">
        <f t="shared" ref="S76:S88" si="45">+K76/G76</f>
        <v>20.591208791208793</v>
      </c>
      <c r="T76" s="36">
        <f t="shared" ref="T76:T88" si="46">+L76/G76</f>
        <v>16.156043956043955</v>
      </c>
      <c r="U76" s="36">
        <f t="shared" ref="U76:U88" si="47">+N76/G76</f>
        <v>0.74285714285714288</v>
      </c>
      <c r="V76" s="36">
        <f t="shared" ref="V76:V88" si="48">+O76/G76</f>
        <v>2.5714285714285716</v>
      </c>
      <c r="W76" s="36">
        <f t="shared" ref="W76:W88" si="49">+P76/G76</f>
        <v>0.3098901098901099</v>
      </c>
    </row>
    <row r="77" spans="1:23" x14ac:dyDescent="0.2">
      <c r="A77" s="369"/>
      <c r="B77" s="33" t="s">
        <v>106</v>
      </c>
      <c r="C77" s="70">
        <v>44256</v>
      </c>
      <c r="D77" s="34">
        <v>44286</v>
      </c>
      <c r="E77" s="35">
        <v>0</v>
      </c>
      <c r="F77" s="35">
        <v>0</v>
      </c>
      <c r="G77" s="147">
        <v>500</v>
      </c>
      <c r="H77" s="35">
        <v>0</v>
      </c>
      <c r="I77" s="35">
        <v>0</v>
      </c>
      <c r="J77" s="35">
        <f t="shared" si="42"/>
        <v>0</v>
      </c>
      <c r="K77" s="35">
        <v>10300</v>
      </c>
      <c r="L77" s="35">
        <f>7950+121</f>
        <v>8071</v>
      </c>
      <c r="M77" s="35">
        <v>0</v>
      </c>
      <c r="N77" s="35">
        <v>445</v>
      </c>
      <c r="O77" s="35">
        <v>1520</v>
      </c>
      <c r="P77" s="35">
        <v>155</v>
      </c>
      <c r="Q77" s="147">
        <f t="shared" si="43"/>
        <v>20491</v>
      </c>
      <c r="R77" s="36">
        <f t="shared" si="44"/>
        <v>40.981999999999999</v>
      </c>
      <c r="S77" s="36">
        <f t="shared" si="45"/>
        <v>20.6</v>
      </c>
      <c r="T77" s="36">
        <f t="shared" si="46"/>
        <v>16.141999999999999</v>
      </c>
      <c r="U77" s="36">
        <f t="shared" si="47"/>
        <v>0.89</v>
      </c>
      <c r="V77" s="36">
        <f t="shared" si="48"/>
        <v>3.04</v>
      </c>
      <c r="W77" s="36">
        <f t="shared" si="49"/>
        <v>0.31</v>
      </c>
    </row>
    <row r="78" spans="1:23" x14ac:dyDescent="0.2">
      <c r="A78" s="369"/>
      <c r="B78" s="33" t="s">
        <v>107</v>
      </c>
      <c r="C78" s="70">
        <v>44287</v>
      </c>
      <c r="D78" s="34">
        <v>44316</v>
      </c>
      <c r="E78" s="35">
        <v>0</v>
      </c>
      <c r="F78" s="35">
        <v>0</v>
      </c>
      <c r="G78" s="147">
        <v>500</v>
      </c>
      <c r="H78" s="35">
        <v>0</v>
      </c>
      <c r="I78" s="35">
        <v>0</v>
      </c>
      <c r="J78" s="35">
        <f t="shared" si="42"/>
        <v>0</v>
      </c>
      <c r="K78" s="35">
        <v>10300</v>
      </c>
      <c r="L78" s="35">
        <f>8194+121</f>
        <v>8315</v>
      </c>
      <c r="M78" s="35">
        <v>0</v>
      </c>
      <c r="N78" s="35">
        <v>445</v>
      </c>
      <c r="O78" s="35">
        <v>1385</v>
      </c>
      <c r="P78" s="35">
        <v>155</v>
      </c>
      <c r="Q78" s="147">
        <f t="shared" si="43"/>
        <v>20600</v>
      </c>
      <c r="R78" s="36">
        <f t="shared" si="44"/>
        <v>41.2</v>
      </c>
      <c r="S78" s="36">
        <f t="shared" si="45"/>
        <v>20.6</v>
      </c>
      <c r="T78" s="36">
        <f t="shared" si="46"/>
        <v>16.63</v>
      </c>
      <c r="U78" s="36">
        <f t="shared" si="47"/>
        <v>0.89</v>
      </c>
      <c r="V78" s="36">
        <f t="shared" si="48"/>
        <v>2.77</v>
      </c>
      <c r="W78" s="36">
        <f t="shared" si="49"/>
        <v>0.31</v>
      </c>
    </row>
    <row r="79" spans="1:23" x14ac:dyDescent="0.2">
      <c r="A79" s="369"/>
      <c r="B79" s="33" t="s">
        <v>108</v>
      </c>
      <c r="C79" s="70">
        <v>44317</v>
      </c>
      <c r="D79" s="34">
        <v>44347</v>
      </c>
      <c r="E79" s="35">
        <v>0</v>
      </c>
      <c r="F79" s="35">
        <v>0</v>
      </c>
      <c r="G79" s="147">
        <v>500</v>
      </c>
      <c r="H79" s="35">
        <v>0</v>
      </c>
      <c r="I79" s="35">
        <v>0</v>
      </c>
      <c r="J79" s="35">
        <f t="shared" si="42"/>
        <v>0</v>
      </c>
      <c r="K79" s="35">
        <v>10300</v>
      </c>
      <c r="L79" s="35">
        <f>8194+121</f>
        <v>8315</v>
      </c>
      <c r="M79" s="35">
        <v>0</v>
      </c>
      <c r="N79" s="35">
        <v>445</v>
      </c>
      <c r="O79" s="35">
        <v>1615</v>
      </c>
      <c r="P79" s="35">
        <v>155</v>
      </c>
      <c r="Q79" s="147">
        <f t="shared" si="43"/>
        <v>20830</v>
      </c>
      <c r="R79" s="36">
        <f t="shared" si="44"/>
        <v>41.66</v>
      </c>
      <c r="S79" s="36">
        <f t="shared" si="45"/>
        <v>20.6</v>
      </c>
      <c r="T79" s="36">
        <f t="shared" si="46"/>
        <v>16.63</v>
      </c>
      <c r="U79" s="36">
        <f t="shared" si="47"/>
        <v>0.89</v>
      </c>
      <c r="V79" s="36">
        <f t="shared" si="48"/>
        <v>3.23</v>
      </c>
      <c r="W79" s="36">
        <f t="shared" si="49"/>
        <v>0.31</v>
      </c>
    </row>
    <row r="80" spans="1:23" x14ac:dyDescent="0.2">
      <c r="A80" s="369"/>
      <c r="B80" s="33" t="s">
        <v>109</v>
      </c>
      <c r="C80" s="70">
        <v>44348</v>
      </c>
      <c r="D80" s="34">
        <v>44377</v>
      </c>
      <c r="E80" s="35">
        <v>0</v>
      </c>
      <c r="F80" s="35">
        <v>0</v>
      </c>
      <c r="G80" s="147">
        <v>500</v>
      </c>
      <c r="H80" s="35">
        <v>0</v>
      </c>
      <c r="I80" s="35">
        <v>0</v>
      </c>
      <c r="J80" s="35">
        <f t="shared" si="42"/>
        <v>0</v>
      </c>
      <c r="K80" s="35">
        <v>10300</v>
      </c>
      <c r="L80" s="35">
        <v>8315</v>
      </c>
      <c r="M80" s="35">
        <v>0</v>
      </c>
      <c r="N80" s="35">
        <v>445</v>
      </c>
      <c r="O80" s="35">
        <v>850</v>
      </c>
      <c r="P80" s="35">
        <v>155</v>
      </c>
      <c r="Q80" s="147">
        <f t="shared" si="43"/>
        <v>20065</v>
      </c>
      <c r="R80" s="36">
        <f t="shared" si="44"/>
        <v>40.130000000000003</v>
      </c>
      <c r="S80" s="36">
        <f t="shared" si="45"/>
        <v>20.6</v>
      </c>
      <c r="T80" s="36">
        <f t="shared" si="46"/>
        <v>16.63</v>
      </c>
      <c r="U80" s="36">
        <f t="shared" si="47"/>
        <v>0.89</v>
      </c>
      <c r="V80" s="36">
        <f t="shared" si="48"/>
        <v>1.7</v>
      </c>
      <c r="W80" s="36">
        <f t="shared" si="49"/>
        <v>0.31</v>
      </c>
    </row>
    <row r="81" spans="1:23" x14ac:dyDescent="0.2">
      <c r="A81" s="369"/>
      <c r="B81" s="33" t="s">
        <v>110</v>
      </c>
      <c r="C81" s="70">
        <v>44378</v>
      </c>
      <c r="D81" s="34">
        <v>44408</v>
      </c>
      <c r="E81" s="35">
        <v>0</v>
      </c>
      <c r="F81" s="35">
        <v>0</v>
      </c>
      <c r="G81" s="147">
        <v>500</v>
      </c>
      <c r="H81" s="35">
        <v>0</v>
      </c>
      <c r="I81" s="35">
        <v>0</v>
      </c>
      <c r="J81" s="35">
        <f t="shared" si="42"/>
        <v>0</v>
      </c>
      <c r="K81" s="35">
        <v>10300</v>
      </c>
      <c r="L81" s="35">
        <v>8315</v>
      </c>
      <c r="M81" s="35">
        <v>0</v>
      </c>
      <c r="N81" s="35">
        <f>725+40</f>
        <v>765</v>
      </c>
      <c r="O81" s="35">
        <v>100</v>
      </c>
      <c r="P81" s="35">
        <v>155</v>
      </c>
      <c r="Q81" s="147">
        <f t="shared" si="43"/>
        <v>19635</v>
      </c>
      <c r="R81" s="36">
        <f t="shared" si="44"/>
        <v>39.270000000000003</v>
      </c>
      <c r="S81" s="36">
        <f t="shared" si="45"/>
        <v>20.6</v>
      </c>
      <c r="T81" s="36">
        <f t="shared" si="46"/>
        <v>16.63</v>
      </c>
      <c r="U81" s="36">
        <f t="shared" si="47"/>
        <v>1.53</v>
      </c>
      <c r="V81" s="36">
        <f t="shared" si="48"/>
        <v>0.2</v>
      </c>
      <c r="W81" s="36">
        <f t="shared" si="49"/>
        <v>0.31</v>
      </c>
    </row>
    <row r="82" spans="1:23" x14ac:dyDescent="0.2">
      <c r="A82" s="369"/>
      <c r="B82" s="33" t="s">
        <v>111</v>
      </c>
      <c r="C82" s="70">
        <v>44409</v>
      </c>
      <c r="D82" s="34">
        <v>44439</v>
      </c>
      <c r="E82" s="35">
        <v>0</v>
      </c>
      <c r="F82" s="35">
        <v>0</v>
      </c>
      <c r="G82" s="147">
        <v>500</v>
      </c>
      <c r="H82" s="35">
        <v>0</v>
      </c>
      <c r="I82" s="35">
        <v>0</v>
      </c>
      <c r="J82" s="35">
        <f t="shared" si="42"/>
        <v>0</v>
      </c>
      <c r="K82" s="35">
        <v>10300</v>
      </c>
      <c r="L82" s="35">
        <v>8315</v>
      </c>
      <c r="M82" s="35">
        <v>0</v>
      </c>
      <c r="N82" s="35">
        <v>765</v>
      </c>
      <c r="O82" s="35">
        <v>0</v>
      </c>
      <c r="P82" s="35">
        <v>155</v>
      </c>
      <c r="Q82" s="147">
        <f t="shared" si="43"/>
        <v>19535</v>
      </c>
      <c r="R82" s="36">
        <f t="shared" si="44"/>
        <v>39.07</v>
      </c>
      <c r="S82" s="36">
        <f t="shared" si="45"/>
        <v>20.6</v>
      </c>
      <c r="T82" s="36">
        <f t="shared" si="46"/>
        <v>16.63</v>
      </c>
      <c r="U82" s="36">
        <f t="shared" si="47"/>
        <v>1.53</v>
      </c>
      <c r="V82" s="36">
        <f t="shared" si="48"/>
        <v>0</v>
      </c>
      <c r="W82" s="36">
        <f t="shared" si="49"/>
        <v>0.31</v>
      </c>
    </row>
    <row r="83" spans="1:23" x14ac:dyDescent="0.2">
      <c r="A83" s="369"/>
      <c r="B83" s="33" t="s">
        <v>112</v>
      </c>
      <c r="C83" s="70">
        <v>44440</v>
      </c>
      <c r="D83" s="34">
        <v>44469</v>
      </c>
      <c r="E83" s="35">
        <v>0</v>
      </c>
      <c r="F83" s="35">
        <v>0</v>
      </c>
      <c r="G83" s="147">
        <v>500</v>
      </c>
      <c r="H83" s="35">
        <v>0</v>
      </c>
      <c r="I83" s="35">
        <v>0</v>
      </c>
      <c r="J83" s="35">
        <f t="shared" si="42"/>
        <v>0</v>
      </c>
      <c r="K83" s="35">
        <v>10300</v>
      </c>
      <c r="L83" s="35">
        <v>8315</v>
      </c>
      <c r="M83" s="35">
        <v>0</v>
      </c>
      <c r="N83" s="35">
        <v>765</v>
      </c>
      <c r="O83" s="35">
        <v>0</v>
      </c>
      <c r="P83" s="35">
        <v>155</v>
      </c>
      <c r="Q83" s="147">
        <f t="shared" si="43"/>
        <v>19535</v>
      </c>
      <c r="R83" s="36">
        <f t="shared" si="44"/>
        <v>39.07</v>
      </c>
      <c r="S83" s="36">
        <f t="shared" si="45"/>
        <v>20.6</v>
      </c>
      <c r="T83" s="36">
        <f t="shared" si="46"/>
        <v>16.63</v>
      </c>
      <c r="U83" s="36">
        <f t="shared" si="47"/>
        <v>1.53</v>
      </c>
      <c r="V83" s="36">
        <f t="shared" si="48"/>
        <v>0</v>
      </c>
      <c r="W83" s="36">
        <f t="shared" si="49"/>
        <v>0.31</v>
      </c>
    </row>
    <row r="84" spans="1:23" x14ac:dyDescent="0.2">
      <c r="A84" s="369"/>
      <c r="B84" s="33" t="s">
        <v>113</v>
      </c>
      <c r="C84" s="70">
        <v>44470</v>
      </c>
      <c r="D84" s="34">
        <v>44500</v>
      </c>
      <c r="E84" s="35">
        <v>0</v>
      </c>
      <c r="F84" s="35">
        <v>0</v>
      </c>
      <c r="G84" s="147">
        <v>500</v>
      </c>
      <c r="H84" s="35">
        <v>0</v>
      </c>
      <c r="I84" s="35">
        <v>0</v>
      </c>
      <c r="J84" s="35">
        <f t="shared" si="42"/>
        <v>0</v>
      </c>
      <c r="K84" s="35">
        <v>10300</v>
      </c>
      <c r="L84" s="35">
        <v>8315</v>
      </c>
      <c r="M84" s="35">
        <v>0</v>
      </c>
      <c r="N84" s="35">
        <v>765</v>
      </c>
      <c r="O84" s="35">
        <v>0</v>
      </c>
      <c r="P84" s="35">
        <f>155+135</f>
        <v>290</v>
      </c>
      <c r="Q84" s="147">
        <f t="shared" si="43"/>
        <v>19670</v>
      </c>
      <c r="R84" s="36">
        <f t="shared" si="44"/>
        <v>39.340000000000003</v>
      </c>
      <c r="S84" s="36">
        <f t="shared" si="45"/>
        <v>20.6</v>
      </c>
      <c r="T84" s="36">
        <f t="shared" si="46"/>
        <v>16.63</v>
      </c>
      <c r="U84" s="36">
        <f t="shared" si="47"/>
        <v>1.53</v>
      </c>
      <c r="V84" s="36">
        <f t="shared" si="48"/>
        <v>0</v>
      </c>
      <c r="W84" s="36">
        <f t="shared" si="49"/>
        <v>0.57999999999999996</v>
      </c>
    </row>
    <row r="85" spans="1:23" x14ac:dyDescent="0.2">
      <c r="A85" s="369"/>
      <c r="B85" s="33" t="s">
        <v>114</v>
      </c>
      <c r="C85" s="70">
        <v>44501</v>
      </c>
      <c r="D85" s="34">
        <v>44530</v>
      </c>
      <c r="E85" s="35">
        <v>0</v>
      </c>
      <c r="F85" s="35">
        <v>0</v>
      </c>
      <c r="G85" s="147">
        <v>500</v>
      </c>
      <c r="H85" s="35">
        <v>0</v>
      </c>
      <c r="I85" s="35">
        <v>0</v>
      </c>
      <c r="J85" s="35">
        <f t="shared" si="42"/>
        <v>0</v>
      </c>
      <c r="K85" s="35">
        <v>10300</v>
      </c>
      <c r="L85" s="35">
        <v>8315</v>
      </c>
      <c r="M85" s="35">
        <v>0</v>
      </c>
      <c r="N85" s="35">
        <v>765</v>
      </c>
      <c r="O85" s="35">
        <v>0</v>
      </c>
      <c r="P85" s="35">
        <f>155+135</f>
        <v>290</v>
      </c>
      <c r="Q85" s="147">
        <f t="shared" si="43"/>
        <v>19670</v>
      </c>
      <c r="R85" s="36">
        <f t="shared" ref="R85" si="50">+Q85/G85</f>
        <v>39.340000000000003</v>
      </c>
      <c r="S85" s="36">
        <f t="shared" ref="S85" si="51">+K85/G85</f>
        <v>20.6</v>
      </c>
      <c r="T85" s="36">
        <f t="shared" ref="T85" si="52">+L85/G85</f>
        <v>16.63</v>
      </c>
      <c r="U85" s="36">
        <f t="shared" ref="U85" si="53">+N85/G85</f>
        <v>1.53</v>
      </c>
      <c r="V85" s="36">
        <f t="shared" ref="V85" si="54">+O85/G85</f>
        <v>0</v>
      </c>
      <c r="W85" s="36">
        <f t="shared" ref="W85" si="55">+P85/G85</f>
        <v>0.57999999999999996</v>
      </c>
    </row>
    <row r="86" spans="1:23" x14ac:dyDescent="0.2">
      <c r="A86" s="369"/>
      <c r="B86" s="33" t="s">
        <v>349</v>
      </c>
      <c r="C86" s="70">
        <v>44531</v>
      </c>
      <c r="D86" s="34">
        <v>44561</v>
      </c>
      <c r="E86" s="35">
        <v>0</v>
      </c>
      <c r="F86" s="35">
        <v>0</v>
      </c>
      <c r="G86" s="147">
        <v>500</v>
      </c>
      <c r="H86" s="35">
        <v>0</v>
      </c>
      <c r="I86" s="35">
        <v>0</v>
      </c>
      <c r="J86" s="35">
        <f t="shared" si="42"/>
        <v>0</v>
      </c>
      <c r="K86" s="35">
        <v>10300</v>
      </c>
      <c r="L86" s="35">
        <v>8315</v>
      </c>
      <c r="M86" s="35">
        <v>0</v>
      </c>
      <c r="N86" s="35">
        <v>765</v>
      </c>
      <c r="O86" s="35">
        <v>0</v>
      </c>
      <c r="P86" s="35">
        <f>155+135</f>
        <v>290</v>
      </c>
      <c r="Q86" s="147">
        <f t="shared" si="43"/>
        <v>19670</v>
      </c>
      <c r="R86" s="36">
        <f t="shared" si="44"/>
        <v>39.340000000000003</v>
      </c>
      <c r="S86" s="36">
        <f t="shared" si="45"/>
        <v>20.6</v>
      </c>
      <c r="T86" s="36">
        <f t="shared" si="46"/>
        <v>16.63</v>
      </c>
      <c r="U86" s="36">
        <f t="shared" si="47"/>
        <v>1.53</v>
      </c>
      <c r="V86" s="36">
        <f t="shared" si="48"/>
        <v>0</v>
      </c>
      <c r="W86" s="36">
        <f t="shared" si="49"/>
        <v>0.57999999999999996</v>
      </c>
    </row>
    <row r="87" spans="1:23" ht="15" thickBot="1" x14ac:dyDescent="0.25">
      <c r="A87" s="383"/>
      <c r="B87" s="71" t="s">
        <v>440</v>
      </c>
      <c r="C87" s="72">
        <v>44222</v>
      </c>
      <c r="D87" s="73">
        <v>44561</v>
      </c>
      <c r="E87" s="74">
        <v>0</v>
      </c>
      <c r="F87" s="74">
        <v>0</v>
      </c>
      <c r="G87" s="193">
        <f>1987+142</f>
        <v>2129</v>
      </c>
      <c r="H87" s="74">
        <v>0</v>
      </c>
      <c r="I87" s="74">
        <v>0</v>
      </c>
      <c r="J87" s="74">
        <f t="shared" si="42"/>
        <v>0</v>
      </c>
      <c r="K87" s="74">
        <f>40939+2925</f>
        <v>43864</v>
      </c>
      <c r="L87" s="74">
        <v>32389</v>
      </c>
      <c r="M87" s="74">
        <v>0</v>
      </c>
      <c r="N87" s="74">
        <f>715+1602+159</f>
        <v>2476</v>
      </c>
      <c r="O87" s="74">
        <v>2341</v>
      </c>
      <c r="P87" s="74">
        <f>623+150</f>
        <v>773</v>
      </c>
      <c r="Q87" s="193">
        <f t="shared" si="43"/>
        <v>81843</v>
      </c>
      <c r="R87" s="75">
        <f t="shared" si="44"/>
        <v>38.441991545326445</v>
      </c>
      <c r="S87" s="75">
        <f t="shared" si="45"/>
        <v>20.603100046970408</v>
      </c>
      <c r="T87" s="75">
        <f t="shared" si="46"/>
        <v>15.2132456552372</v>
      </c>
      <c r="U87" s="75">
        <f t="shared" si="47"/>
        <v>1.1629873179896666</v>
      </c>
      <c r="V87" s="75">
        <f t="shared" si="48"/>
        <v>1.099577266322217</v>
      </c>
      <c r="W87" s="75">
        <f t="shared" si="49"/>
        <v>0.36308125880695163</v>
      </c>
    </row>
    <row r="88" spans="1:23" ht="27" customHeight="1" thickTop="1" thickBot="1" x14ac:dyDescent="0.25">
      <c r="A88" s="361" t="s">
        <v>6</v>
      </c>
      <c r="B88" s="362"/>
      <c r="C88" s="362"/>
      <c r="D88" s="363"/>
      <c r="E88" s="40"/>
      <c r="F88" s="40"/>
      <c r="G88" s="40">
        <f>SUM(G76:G87)</f>
        <v>7584</v>
      </c>
      <c r="H88" s="40">
        <f t="shared" ref="H88:Q88" si="56">SUM(H76:H87)</f>
        <v>0</v>
      </c>
      <c r="I88" s="40">
        <f t="shared" si="56"/>
        <v>0</v>
      </c>
      <c r="J88" s="40">
        <f t="shared" si="56"/>
        <v>0</v>
      </c>
      <c r="K88" s="40">
        <f t="shared" si="56"/>
        <v>156233</v>
      </c>
      <c r="L88" s="40">
        <f t="shared" si="56"/>
        <v>122646</v>
      </c>
      <c r="M88" s="40">
        <f t="shared" si="56"/>
        <v>0</v>
      </c>
      <c r="N88" s="40">
        <f t="shared" si="56"/>
        <v>9184</v>
      </c>
      <c r="O88" s="40">
        <f t="shared" si="56"/>
        <v>8981</v>
      </c>
      <c r="P88" s="40">
        <f t="shared" si="56"/>
        <v>2869</v>
      </c>
      <c r="Q88" s="40">
        <f t="shared" si="56"/>
        <v>299913</v>
      </c>
      <c r="R88" s="41">
        <f t="shared" si="44"/>
        <v>39.545490506329116</v>
      </c>
      <c r="S88" s="41">
        <f t="shared" si="45"/>
        <v>20.600342827004219</v>
      </c>
      <c r="T88" s="41">
        <f t="shared" si="46"/>
        <v>16.171677215189874</v>
      </c>
      <c r="U88" s="41">
        <f t="shared" si="47"/>
        <v>1.2109704641350212</v>
      </c>
      <c r="V88" s="41">
        <f t="shared" si="48"/>
        <v>1.1842035864978904</v>
      </c>
      <c r="W88" s="41">
        <f t="shared" si="49"/>
        <v>0.37829641350210969</v>
      </c>
    </row>
    <row r="89" spans="1:23" ht="15.75" thickTop="1" x14ac:dyDescent="0.25">
      <c r="A89" s="47" t="s">
        <v>86</v>
      </c>
      <c r="B89" s="382" t="s">
        <v>120</v>
      </c>
      <c r="C89" s="382"/>
      <c r="D89" s="382"/>
      <c r="E89" s="382"/>
      <c r="F89" s="382"/>
      <c r="G89" s="381" t="s">
        <v>87</v>
      </c>
      <c r="H89" s="381"/>
      <c r="I89" s="380" t="s">
        <v>123</v>
      </c>
      <c r="J89" s="380"/>
      <c r="K89" s="62" t="s">
        <v>100</v>
      </c>
      <c r="L89" s="381" t="s">
        <v>121</v>
      </c>
      <c r="M89" s="381"/>
      <c r="N89" s="381"/>
      <c r="O89" s="381"/>
      <c r="P89" s="67"/>
      <c r="Q89" s="67" t="s">
        <v>92</v>
      </c>
      <c r="S89" s="380" t="s">
        <v>122</v>
      </c>
      <c r="T89" s="380"/>
    </row>
    <row r="90" spans="1:23" ht="15" thickBot="1" x14ac:dyDescent="0.25"/>
    <row r="91" spans="1:23" ht="52.5" customHeight="1" thickTop="1" thickBot="1" x14ac:dyDescent="0.25">
      <c r="A91" s="384" t="s">
        <v>64</v>
      </c>
      <c r="B91" s="364" t="s">
        <v>0</v>
      </c>
      <c r="C91" s="360" t="s">
        <v>5</v>
      </c>
      <c r="D91" s="360"/>
      <c r="E91" s="360" t="s">
        <v>29</v>
      </c>
      <c r="F91" s="360" t="s">
        <v>30</v>
      </c>
      <c r="G91" s="364" t="s">
        <v>7</v>
      </c>
      <c r="H91" s="357" t="s">
        <v>8</v>
      </c>
      <c r="I91" s="358"/>
      <c r="J91" s="359"/>
      <c r="K91" s="357" t="s">
        <v>11</v>
      </c>
      <c r="L91" s="358"/>
      <c r="M91" s="358"/>
      <c r="N91" s="358"/>
      <c r="O91" s="358"/>
      <c r="P91" s="358"/>
      <c r="Q91" s="359"/>
      <c r="R91" s="357" t="s">
        <v>31</v>
      </c>
      <c r="S91" s="358"/>
      <c r="T91" s="358"/>
      <c r="U91" s="358"/>
      <c r="V91" s="358"/>
      <c r="W91" s="359"/>
    </row>
    <row r="92" spans="1:23" ht="111.75" customHeight="1" thickTop="1" thickBot="1" x14ac:dyDescent="0.25">
      <c r="A92" s="385"/>
      <c r="B92" s="365"/>
      <c r="C92" s="60" t="s">
        <v>3</v>
      </c>
      <c r="D92" s="60" t="s">
        <v>4</v>
      </c>
      <c r="E92" s="360"/>
      <c r="F92" s="360"/>
      <c r="G92" s="365"/>
      <c r="H92" s="60" t="s">
        <v>17</v>
      </c>
      <c r="I92" s="60" t="s">
        <v>68</v>
      </c>
      <c r="J92" s="60" t="s">
        <v>6</v>
      </c>
      <c r="K92" s="60" t="s">
        <v>9</v>
      </c>
      <c r="L92" s="60" t="s">
        <v>10</v>
      </c>
      <c r="M92" s="60" t="s">
        <v>12</v>
      </c>
      <c r="N92" s="60" t="s">
        <v>24</v>
      </c>
      <c r="O92" s="60" t="s">
        <v>25</v>
      </c>
      <c r="P92" s="60" t="s">
        <v>436</v>
      </c>
      <c r="Q92" s="60" t="s">
        <v>23</v>
      </c>
      <c r="R92" s="61" t="s">
        <v>6</v>
      </c>
      <c r="S92" s="61" t="s">
        <v>22</v>
      </c>
      <c r="T92" s="61" t="s">
        <v>20</v>
      </c>
      <c r="U92" s="61" t="s">
        <v>32</v>
      </c>
      <c r="V92" s="61" t="s">
        <v>33</v>
      </c>
      <c r="W92" s="294" t="s">
        <v>386</v>
      </c>
    </row>
    <row r="93" spans="1:23" ht="15" customHeight="1" thickTop="1" x14ac:dyDescent="0.2">
      <c r="A93" s="368" t="s">
        <v>124</v>
      </c>
      <c r="B93" s="287" t="s">
        <v>104</v>
      </c>
      <c r="C93" s="295">
        <v>44197</v>
      </c>
      <c r="D93" s="176">
        <v>44227</v>
      </c>
      <c r="E93" s="143">
        <v>0</v>
      </c>
      <c r="F93" s="143">
        <v>0</v>
      </c>
      <c r="G93" s="146">
        <v>100</v>
      </c>
      <c r="H93" s="143">
        <v>0</v>
      </c>
      <c r="I93" s="143">
        <v>0</v>
      </c>
      <c r="J93" s="143">
        <f>+I93+H93</f>
        <v>0</v>
      </c>
      <c r="K93" s="143">
        <v>2060</v>
      </c>
      <c r="L93" s="143">
        <f>1590+121</f>
        <v>1711</v>
      </c>
      <c r="M93" s="143">
        <v>0</v>
      </c>
      <c r="N93" s="143">
        <v>89</v>
      </c>
      <c r="O93" s="143">
        <v>148</v>
      </c>
      <c r="P93" s="143">
        <v>31</v>
      </c>
      <c r="Q93" s="146">
        <f>+P93+O93+N93+M93+L93+K93</f>
        <v>4039</v>
      </c>
      <c r="R93" s="289">
        <f>+Q93/G93</f>
        <v>40.39</v>
      </c>
      <c r="S93" s="289">
        <f>+K93/G93</f>
        <v>20.6</v>
      </c>
      <c r="T93" s="289">
        <f>+L93/G93</f>
        <v>17.11</v>
      </c>
      <c r="U93" s="289">
        <f>+N93/G93</f>
        <v>0.89</v>
      </c>
      <c r="V93" s="289">
        <f>+O93/G93</f>
        <v>1.48</v>
      </c>
      <c r="W93" s="289">
        <f>+P93/G93</f>
        <v>0.31</v>
      </c>
    </row>
    <row r="94" spans="1:23" x14ac:dyDescent="0.2">
      <c r="A94" s="369"/>
      <c r="B94" s="192" t="s">
        <v>105</v>
      </c>
      <c r="C94" s="161">
        <v>44228</v>
      </c>
      <c r="D94" s="162">
        <v>44255</v>
      </c>
      <c r="E94" s="144">
        <v>0</v>
      </c>
      <c r="F94" s="144">
        <v>0</v>
      </c>
      <c r="G94" s="147">
        <v>100</v>
      </c>
      <c r="H94" s="35">
        <v>0</v>
      </c>
      <c r="I94" s="35">
        <v>0</v>
      </c>
      <c r="J94" s="35">
        <f t="shared" ref="J94:J105" si="57">+I94+H94</f>
        <v>0</v>
      </c>
      <c r="K94" s="35">
        <v>2060</v>
      </c>
      <c r="L94" s="35">
        <v>1711</v>
      </c>
      <c r="M94" s="35">
        <v>0</v>
      </c>
      <c r="N94" s="35">
        <v>89</v>
      </c>
      <c r="O94" s="35">
        <v>234</v>
      </c>
      <c r="P94" s="35">
        <v>31</v>
      </c>
      <c r="Q94" s="147">
        <f t="shared" ref="Q94:Q105" si="58">+P94+O94+N94+M94+L94+K94</f>
        <v>4125</v>
      </c>
      <c r="R94" s="36">
        <f t="shared" ref="R94:R106" si="59">+Q94/G94</f>
        <v>41.25</v>
      </c>
      <c r="S94" s="36">
        <f t="shared" ref="S94:S106" si="60">+K94/G94</f>
        <v>20.6</v>
      </c>
      <c r="T94" s="36">
        <f t="shared" ref="T94:T106" si="61">+L94/G94</f>
        <v>17.11</v>
      </c>
      <c r="U94" s="36">
        <f t="shared" ref="U94:U106" si="62">+N94/G94</f>
        <v>0.89</v>
      </c>
      <c r="V94" s="36">
        <f t="shared" ref="V94:V106" si="63">+O94/G94</f>
        <v>2.34</v>
      </c>
      <c r="W94" s="36">
        <f t="shared" ref="W94:W106" si="64">+P94/G94</f>
        <v>0.31</v>
      </c>
    </row>
    <row r="95" spans="1:23" x14ac:dyDescent="0.2">
      <c r="A95" s="369"/>
      <c r="B95" s="192" t="s">
        <v>106</v>
      </c>
      <c r="C95" s="70">
        <v>44256</v>
      </c>
      <c r="D95" s="34">
        <v>44286</v>
      </c>
      <c r="E95" s="35">
        <v>0</v>
      </c>
      <c r="F95" s="35">
        <v>0</v>
      </c>
      <c r="G95" s="147">
        <v>100</v>
      </c>
      <c r="H95" s="35">
        <v>0</v>
      </c>
      <c r="I95" s="35">
        <v>0</v>
      </c>
      <c r="J95" s="35">
        <v>0</v>
      </c>
      <c r="K95" s="35">
        <v>2060</v>
      </c>
      <c r="L95" s="35">
        <v>1711</v>
      </c>
      <c r="M95" s="35">
        <v>0</v>
      </c>
      <c r="N95" s="35">
        <v>89</v>
      </c>
      <c r="O95" s="35">
        <v>304</v>
      </c>
      <c r="P95" s="35">
        <v>31</v>
      </c>
      <c r="Q95" s="147">
        <f t="shared" si="58"/>
        <v>4195</v>
      </c>
      <c r="R95" s="36">
        <f t="shared" si="59"/>
        <v>41.95</v>
      </c>
      <c r="S95" s="36">
        <f t="shared" si="60"/>
        <v>20.6</v>
      </c>
      <c r="T95" s="36">
        <f t="shared" si="61"/>
        <v>17.11</v>
      </c>
      <c r="U95" s="36">
        <f t="shared" si="62"/>
        <v>0.89</v>
      </c>
      <c r="V95" s="36">
        <f t="shared" si="63"/>
        <v>3.04</v>
      </c>
      <c r="W95" s="36">
        <f t="shared" si="64"/>
        <v>0.31</v>
      </c>
    </row>
    <row r="96" spans="1:23" x14ac:dyDescent="0.2">
      <c r="A96" s="369"/>
      <c r="B96" s="192" t="s">
        <v>107</v>
      </c>
      <c r="C96" s="70">
        <v>44287</v>
      </c>
      <c r="D96" s="34">
        <v>44316</v>
      </c>
      <c r="E96" s="35">
        <v>0</v>
      </c>
      <c r="F96" s="35">
        <v>0</v>
      </c>
      <c r="G96" s="147">
        <v>100</v>
      </c>
      <c r="H96" s="35">
        <v>0</v>
      </c>
      <c r="I96" s="35">
        <v>0</v>
      </c>
      <c r="J96" s="35">
        <v>0</v>
      </c>
      <c r="K96" s="35">
        <v>2060</v>
      </c>
      <c r="L96" s="35">
        <f>1639+121</f>
        <v>1760</v>
      </c>
      <c r="M96" s="35">
        <v>0</v>
      </c>
      <c r="N96" s="35">
        <v>89</v>
      </c>
      <c r="O96" s="35">
        <v>277</v>
      </c>
      <c r="P96" s="35">
        <v>31</v>
      </c>
      <c r="Q96" s="147">
        <f t="shared" si="58"/>
        <v>4217</v>
      </c>
      <c r="R96" s="36">
        <f t="shared" si="59"/>
        <v>42.17</v>
      </c>
      <c r="S96" s="36">
        <f t="shared" si="60"/>
        <v>20.6</v>
      </c>
      <c r="T96" s="36">
        <f t="shared" si="61"/>
        <v>17.600000000000001</v>
      </c>
      <c r="U96" s="36">
        <f t="shared" si="62"/>
        <v>0.89</v>
      </c>
      <c r="V96" s="36">
        <f t="shared" si="63"/>
        <v>2.77</v>
      </c>
      <c r="W96" s="36">
        <f t="shared" si="64"/>
        <v>0.31</v>
      </c>
    </row>
    <row r="97" spans="1:23" x14ac:dyDescent="0.2">
      <c r="A97" s="369"/>
      <c r="B97" s="192" t="s">
        <v>108</v>
      </c>
      <c r="C97" s="70">
        <v>44317</v>
      </c>
      <c r="D97" s="34">
        <v>44347</v>
      </c>
      <c r="E97" s="35">
        <v>0</v>
      </c>
      <c r="F97" s="35">
        <v>0</v>
      </c>
      <c r="G97" s="147">
        <v>100</v>
      </c>
      <c r="H97" s="35">
        <v>0</v>
      </c>
      <c r="I97" s="35">
        <v>0</v>
      </c>
      <c r="J97" s="35">
        <f t="shared" si="57"/>
        <v>0</v>
      </c>
      <c r="K97" s="35">
        <v>2060</v>
      </c>
      <c r="L97" s="35">
        <v>1760</v>
      </c>
      <c r="M97" s="35">
        <v>0</v>
      </c>
      <c r="N97" s="35">
        <v>89</v>
      </c>
      <c r="O97" s="35">
        <v>323</v>
      </c>
      <c r="P97" s="35">
        <v>31</v>
      </c>
      <c r="Q97" s="147">
        <f t="shared" si="58"/>
        <v>4263</v>
      </c>
      <c r="R97" s="36">
        <f t="shared" si="59"/>
        <v>42.63</v>
      </c>
      <c r="S97" s="36">
        <f t="shared" si="60"/>
        <v>20.6</v>
      </c>
      <c r="T97" s="36">
        <f t="shared" si="61"/>
        <v>17.600000000000001</v>
      </c>
      <c r="U97" s="36">
        <f t="shared" si="62"/>
        <v>0.89</v>
      </c>
      <c r="V97" s="36">
        <f t="shared" si="63"/>
        <v>3.23</v>
      </c>
      <c r="W97" s="36">
        <f t="shared" si="64"/>
        <v>0.31</v>
      </c>
    </row>
    <row r="98" spans="1:23" x14ac:dyDescent="0.2">
      <c r="A98" s="369"/>
      <c r="B98" s="192" t="s">
        <v>109</v>
      </c>
      <c r="C98" s="70">
        <v>44348</v>
      </c>
      <c r="D98" s="34">
        <v>44377</v>
      </c>
      <c r="E98" s="35">
        <v>0</v>
      </c>
      <c r="F98" s="35">
        <v>0</v>
      </c>
      <c r="G98" s="147">
        <v>100</v>
      </c>
      <c r="H98" s="35">
        <v>0</v>
      </c>
      <c r="I98" s="35">
        <v>0</v>
      </c>
      <c r="J98" s="35">
        <f t="shared" si="57"/>
        <v>0</v>
      </c>
      <c r="K98" s="35">
        <v>2060</v>
      </c>
      <c r="L98" s="35">
        <v>1760</v>
      </c>
      <c r="M98" s="35">
        <v>0</v>
      </c>
      <c r="N98" s="35">
        <v>89</v>
      </c>
      <c r="O98" s="35">
        <v>170</v>
      </c>
      <c r="P98" s="35">
        <v>31</v>
      </c>
      <c r="Q98" s="147">
        <f t="shared" si="58"/>
        <v>4110</v>
      </c>
      <c r="R98" s="36">
        <f t="shared" si="59"/>
        <v>41.1</v>
      </c>
      <c r="S98" s="36">
        <f t="shared" si="60"/>
        <v>20.6</v>
      </c>
      <c r="T98" s="36">
        <f t="shared" si="61"/>
        <v>17.600000000000001</v>
      </c>
      <c r="U98" s="36">
        <f t="shared" si="62"/>
        <v>0.89</v>
      </c>
      <c r="V98" s="36">
        <f t="shared" si="63"/>
        <v>1.7</v>
      </c>
      <c r="W98" s="36">
        <f t="shared" si="64"/>
        <v>0.31</v>
      </c>
    </row>
    <row r="99" spans="1:23" x14ac:dyDescent="0.2">
      <c r="A99" s="369"/>
      <c r="B99" s="192" t="s">
        <v>110</v>
      </c>
      <c r="C99" s="70">
        <v>44378</v>
      </c>
      <c r="D99" s="34">
        <v>44408</v>
      </c>
      <c r="E99" s="35">
        <v>0</v>
      </c>
      <c r="F99" s="35">
        <v>0</v>
      </c>
      <c r="G99" s="147">
        <v>100</v>
      </c>
      <c r="H99" s="35">
        <v>0</v>
      </c>
      <c r="I99" s="35">
        <v>0</v>
      </c>
      <c r="J99" s="35">
        <f t="shared" si="57"/>
        <v>0</v>
      </c>
      <c r="K99" s="35">
        <v>2060</v>
      </c>
      <c r="L99" s="35">
        <f>1639+121</f>
        <v>1760</v>
      </c>
      <c r="M99" s="35">
        <v>0</v>
      </c>
      <c r="N99" s="35">
        <f>145+8</f>
        <v>153</v>
      </c>
      <c r="O99" s="35">
        <v>20</v>
      </c>
      <c r="P99" s="35">
        <v>31</v>
      </c>
      <c r="Q99" s="147">
        <f t="shared" si="58"/>
        <v>4024</v>
      </c>
      <c r="R99" s="36">
        <f t="shared" si="59"/>
        <v>40.24</v>
      </c>
      <c r="S99" s="36">
        <f t="shared" si="60"/>
        <v>20.6</v>
      </c>
      <c r="T99" s="36">
        <f t="shared" si="61"/>
        <v>17.600000000000001</v>
      </c>
      <c r="U99" s="36">
        <f t="shared" si="62"/>
        <v>1.53</v>
      </c>
      <c r="V99" s="36">
        <f t="shared" si="63"/>
        <v>0.2</v>
      </c>
      <c r="W99" s="36">
        <f t="shared" si="64"/>
        <v>0.31</v>
      </c>
    </row>
    <row r="100" spans="1:23" x14ac:dyDescent="0.2">
      <c r="A100" s="369"/>
      <c r="B100" s="192" t="s">
        <v>111</v>
      </c>
      <c r="C100" s="70">
        <v>44409</v>
      </c>
      <c r="D100" s="34">
        <v>44439</v>
      </c>
      <c r="E100" s="35">
        <v>0</v>
      </c>
      <c r="F100" s="35">
        <v>0</v>
      </c>
      <c r="G100" s="147">
        <v>100</v>
      </c>
      <c r="H100" s="35">
        <v>0</v>
      </c>
      <c r="I100" s="35">
        <v>0</v>
      </c>
      <c r="J100" s="35">
        <f t="shared" si="57"/>
        <v>0</v>
      </c>
      <c r="K100" s="35">
        <v>2060</v>
      </c>
      <c r="L100" s="35">
        <v>1760</v>
      </c>
      <c r="M100" s="35">
        <v>0</v>
      </c>
      <c r="N100" s="35">
        <v>153</v>
      </c>
      <c r="O100" s="35">
        <v>0</v>
      </c>
      <c r="P100" s="35">
        <v>31</v>
      </c>
      <c r="Q100" s="147">
        <f t="shared" si="58"/>
        <v>4004</v>
      </c>
      <c r="R100" s="36">
        <f t="shared" si="59"/>
        <v>40.04</v>
      </c>
      <c r="S100" s="36">
        <f t="shared" si="60"/>
        <v>20.6</v>
      </c>
      <c r="T100" s="36">
        <f t="shared" si="61"/>
        <v>17.600000000000001</v>
      </c>
      <c r="U100" s="36">
        <f t="shared" si="62"/>
        <v>1.53</v>
      </c>
      <c r="V100" s="36">
        <f t="shared" si="63"/>
        <v>0</v>
      </c>
      <c r="W100" s="36">
        <f t="shared" si="64"/>
        <v>0.31</v>
      </c>
    </row>
    <row r="101" spans="1:23" x14ac:dyDescent="0.2">
      <c r="A101" s="369"/>
      <c r="B101" s="192" t="s">
        <v>112</v>
      </c>
      <c r="C101" s="70">
        <v>44440</v>
      </c>
      <c r="D101" s="34">
        <v>44469</v>
      </c>
      <c r="E101" s="35">
        <v>0</v>
      </c>
      <c r="F101" s="35">
        <v>0</v>
      </c>
      <c r="G101" s="147">
        <v>100</v>
      </c>
      <c r="H101" s="35">
        <v>0</v>
      </c>
      <c r="I101" s="35">
        <v>0</v>
      </c>
      <c r="J101" s="35">
        <f t="shared" si="57"/>
        <v>0</v>
      </c>
      <c r="K101" s="35">
        <v>2060</v>
      </c>
      <c r="L101" s="35">
        <v>1760</v>
      </c>
      <c r="M101" s="35">
        <v>0</v>
      </c>
      <c r="N101" s="35">
        <v>153</v>
      </c>
      <c r="O101" s="35">
        <v>0</v>
      </c>
      <c r="P101" s="35">
        <v>31</v>
      </c>
      <c r="Q101" s="147">
        <f t="shared" si="58"/>
        <v>4004</v>
      </c>
      <c r="R101" s="36">
        <f t="shared" si="59"/>
        <v>40.04</v>
      </c>
      <c r="S101" s="36">
        <f t="shared" si="60"/>
        <v>20.6</v>
      </c>
      <c r="T101" s="36">
        <f t="shared" si="61"/>
        <v>17.600000000000001</v>
      </c>
      <c r="U101" s="36">
        <f t="shared" si="62"/>
        <v>1.53</v>
      </c>
      <c r="V101" s="36">
        <f t="shared" si="63"/>
        <v>0</v>
      </c>
      <c r="W101" s="36">
        <f t="shared" si="64"/>
        <v>0.31</v>
      </c>
    </row>
    <row r="102" spans="1:23" x14ac:dyDescent="0.2">
      <c r="A102" s="369"/>
      <c r="B102" s="192" t="s">
        <v>113</v>
      </c>
      <c r="C102" s="70">
        <v>44470</v>
      </c>
      <c r="D102" s="34">
        <v>44500</v>
      </c>
      <c r="E102" s="35">
        <v>0</v>
      </c>
      <c r="F102" s="35">
        <v>0</v>
      </c>
      <c r="G102" s="147">
        <v>100</v>
      </c>
      <c r="H102" s="35">
        <v>0</v>
      </c>
      <c r="I102" s="35">
        <v>0</v>
      </c>
      <c r="J102" s="35">
        <f t="shared" si="57"/>
        <v>0</v>
      </c>
      <c r="K102" s="35">
        <v>2060</v>
      </c>
      <c r="L102" s="35">
        <v>1760</v>
      </c>
      <c r="M102" s="35">
        <v>0</v>
      </c>
      <c r="N102" s="35">
        <v>153</v>
      </c>
      <c r="O102" s="35">
        <v>0</v>
      </c>
      <c r="P102" s="35">
        <f>31+27</f>
        <v>58</v>
      </c>
      <c r="Q102" s="147">
        <f t="shared" si="58"/>
        <v>4031</v>
      </c>
      <c r="R102" s="36">
        <f t="shared" si="59"/>
        <v>40.31</v>
      </c>
      <c r="S102" s="36">
        <f t="shared" si="60"/>
        <v>20.6</v>
      </c>
      <c r="T102" s="36">
        <f t="shared" si="61"/>
        <v>17.600000000000001</v>
      </c>
      <c r="U102" s="36">
        <f t="shared" si="62"/>
        <v>1.53</v>
      </c>
      <c r="V102" s="36">
        <f t="shared" si="63"/>
        <v>0</v>
      </c>
      <c r="W102" s="36">
        <f t="shared" si="64"/>
        <v>0.57999999999999996</v>
      </c>
    </row>
    <row r="103" spans="1:23" x14ac:dyDescent="0.2">
      <c r="A103" s="369"/>
      <c r="B103" s="192" t="s">
        <v>114</v>
      </c>
      <c r="C103" s="70">
        <v>44501</v>
      </c>
      <c r="D103" s="34">
        <v>44530</v>
      </c>
      <c r="E103" s="35">
        <v>0</v>
      </c>
      <c r="F103" s="35">
        <v>0</v>
      </c>
      <c r="G103" s="147">
        <v>100</v>
      </c>
      <c r="H103" s="35">
        <v>0</v>
      </c>
      <c r="I103" s="35">
        <v>0</v>
      </c>
      <c r="J103" s="35">
        <f t="shared" si="57"/>
        <v>0</v>
      </c>
      <c r="K103" s="35">
        <v>2060</v>
      </c>
      <c r="L103" s="35">
        <v>1760</v>
      </c>
      <c r="M103" s="35">
        <v>0</v>
      </c>
      <c r="N103" s="35">
        <v>153</v>
      </c>
      <c r="O103" s="35">
        <v>0</v>
      </c>
      <c r="P103" s="35">
        <f>31+27</f>
        <v>58</v>
      </c>
      <c r="Q103" s="147">
        <f t="shared" si="58"/>
        <v>4031</v>
      </c>
      <c r="R103" s="36">
        <f t="shared" si="59"/>
        <v>40.31</v>
      </c>
      <c r="S103" s="36">
        <f t="shared" si="60"/>
        <v>20.6</v>
      </c>
      <c r="T103" s="36">
        <f t="shared" si="61"/>
        <v>17.600000000000001</v>
      </c>
      <c r="U103" s="36">
        <f t="shared" si="62"/>
        <v>1.53</v>
      </c>
      <c r="V103" s="36">
        <f t="shared" si="63"/>
        <v>0</v>
      </c>
      <c r="W103" s="36">
        <f t="shared" si="64"/>
        <v>0.57999999999999996</v>
      </c>
    </row>
    <row r="104" spans="1:23" x14ac:dyDescent="0.2">
      <c r="A104" s="369"/>
      <c r="B104" s="192" t="s">
        <v>349</v>
      </c>
      <c r="C104" s="333">
        <v>44531</v>
      </c>
      <c r="D104" s="334">
        <v>44561</v>
      </c>
      <c r="E104" s="38">
        <v>0</v>
      </c>
      <c r="F104" s="38">
        <v>0</v>
      </c>
      <c r="G104" s="148">
        <v>100</v>
      </c>
      <c r="H104" s="38">
        <v>0</v>
      </c>
      <c r="I104" s="38">
        <v>0</v>
      </c>
      <c r="J104" s="38">
        <f t="shared" si="57"/>
        <v>0</v>
      </c>
      <c r="K104" s="35">
        <v>2060</v>
      </c>
      <c r="L104" s="35">
        <v>1760</v>
      </c>
      <c r="M104" s="35">
        <v>0</v>
      </c>
      <c r="N104" s="35">
        <v>153</v>
      </c>
      <c r="O104" s="35">
        <v>0</v>
      </c>
      <c r="P104" s="35">
        <f>31+27</f>
        <v>58</v>
      </c>
      <c r="Q104" s="147">
        <f t="shared" si="58"/>
        <v>4031</v>
      </c>
      <c r="R104" s="36">
        <f t="shared" ref="R104" si="65">+Q104/G104</f>
        <v>40.31</v>
      </c>
      <c r="S104" s="36">
        <f t="shared" ref="S104" si="66">+K104/G104</f>
        <v>20.6</v>
      </c>
      <c r="T104" s="36">
        <f t="shared" ref="T104" si="67">+L104/G104</f>
        <v>17.600000000000001</v>
      </c>
      <c r="U104" s="36">
        <f t="shared" ref="U104" si="68">+N104/G104</f>
        <v>1.53</v>
      </c>
      <c r="V104" s="36">
        <f t="shared" ref="V104" si="69">+O104/G104</f>
        <v>0</v>
      </c>
      <c r="W104" s="36">
        <f t="shared" ref="W104" si="70">+P104/G104</f>
        <v>0.57999999999999996</v>
      </c>
    </row>
    <row r="105" spans="1:23" ht="15" thickBot="1" x14ac:dyDescent="0.25">
      <c r="A105" s="383"/>
      <c r="B105" s="71" t="s">
        <v>440</v>
      </c>
      <c r="C105" s="72">
        <v>44197</v>
      </c>
      <c r="D105" s="73">
        <v>44561</v>
      </c>
      <c r="E105" s="74">
        <v>0</v>
      </c>
      <c r="F105" s="74">
        <v>0</v>
      </c>
      <c r="G105" s="193">
        <v>16473</v>
      </c>
      <c r="H105" s="74">
        <v>0</v>
      </c>
      <c r="I105" s="74">
        <v>0</v>
      </c>
      <c r="J105" s="74">
        <f t="shared" si="57"/>
        <v>0</v>
      </c>
      <c r="K105" s="74">
        <v>339342</v>
      </c>
      <c r="L105" s="74">
        <v>267911</v>
      </c>
      <c r="M105" s="74">
        <v>0</v>
      </c>
      <c r="N105" s="74">
        <f>6793+11729+1316</f>
        <v>19838</v>
      </c>
      <c r="O105" s="74">
        <v>20671</v>
      </c>
      <c r="P105" s="74">
        <f>5115+1031</f>
        <v>6146</v>
      </c>
      <c r="Q105" s="193">
        <f t="shared" si="58"/>
        <v>653908</v>
      </c>
      <c r="R105" s="75">
        <f t="shared" si="59"/>
        <v>39.695744551690645</v>
      </c>
      <c r="S105" s="75">
        <f t="shared" si="60"/>
        <v>20.599890730285921</v>
      </c>
      <c r="T105" s="75">
        <f t="shared" si="61"/>
        <v>16.263643537910522</v>
      </c>
      <c r="U105" s="75">
        <f t="shared" si="62"/>
        <v>1.2042736599283677</v>
      </c>
      <c r="V105" s="75">
        <f t="shared" si="63"/>
        <v>1.254841255387604</v>
      </c>
      <c r="W105" s="75">
        <f t="shared" si="64"/>
        <v>0.37309536817823102</v>
      </c>
    </row>
    <row r="106" spans="1:23" ht="27" customHeight="1" thickTop="1" thickBot="1" x14ac:dyDescent="0.25">
      <c r="A106" s="361" t="s">
        <v>6</v>
      </c>
      <c r="B106" s="362"/>
      <c r="C106" s="362"/>
      <c r="D106" s="363"/>
      <c r="E106" s="40"/>
      <c r="F106" s="40"/>
      <c r="G106" s="40">
        <f>SUM(G93:G105)</f>
        <v>17673</v>
      </c>
      <c r="H106" s="40">
        <f t="shared" ref="H106:Q106" si="71">SUM(H93:H105)</f>
        <v>0</v>
      </c>
      <c r="I106" s="40">
        <f t="shared" si="71"/>
        <v>0</v>
      </c>
      <c r="J106" s="40">
        <f t="shared" si="71"/>
        <v>0</v>
      </c>
      <c r="K106" s="40">
        <f t="shared" si="71"/>
        <v>364062</v>
      </c>
      <c r="L106" s="40">
        <f t="shared" si="71"/>
        <v>288884</v>
      </c>
      <c r="M106" s="40">
        <f t="shared" si="71"/>
        <v>0</v>
      </c>
      <c r="N106" s="40">
        <f t="shared" si="71"/>
        <v>21290</v>
      </c>
      <c r="O106" s="40">
        <f t="shared" si="71"/>
        <v>22147</v>
      </c>
      <c r="P106" s="40">
        <f t="shared" si="71"/>
        <v>6599</v>
      </c>
      <c r="Q106" s="40">
        <f t="shared" si="71"/>
        <v>702982</v>
      </c>
      <c r="R106" s="41">
        <f t="shared" si="59"/>
        <v>39.777174220562436</v>
      </c>
      <c r="S106" s="41">
        <f t="shared" si="60"/>
        <v>20.599898149719913</v>
      </c>
      <c r="T106" s="41">
        <f t="shared" si="61"/>
        <v>16.346064618344368</v>
      </c>
      <c r="U106" s="41">
        <f t="shared" si="62"/>
        <v>1.2046624794884853</v>
      </c>
      <c r="V106" s="41">
        <f t="shared" si="63"/>
        <v>1.2531545295082895</v>
      </c>
      <c r="W106" s="41">
        <f t="shared" si="64"/>
        <v>0.37339444350138629</v>
      </c>
    </row>
    <row r="107" spans="1:23" ht="15.75" thickTop="1" x14ac:dyDescent="0.25">
      <c r="A107" s="47" t="s">
        <v>86</v>
      </c>
      <c r="B107" s="382" t="s">
        <v>125</v>
      </c>
      <c r="C107" s="382"/>
      <c r="D107" s="382"/>
      <c r="E107" s="382"/>
      <c r="F107" s="382"/>
      <c r="G107" s="381" t="s">
        <v>87</v>
      </c>
      <c r="H107" s="381"/>
      <c r="I107" s="380" t="s">
        <v>423</v>
      </c>
      <c r="J107" s="380"/>
      <c r="K107" s="62" t="s">
        <v>100</v>
      </c>
      <c r="L107" s="381" t="s">
        <v>121</v>
      </c>
      <c r="M107" s="381"/>
      <c r="N107" s="381"/>
      <c r="O107" s="381"/>
      <c r="P107" s="67"/>
      <c r="Q107" s="67" t="s">
        <v>92</v>
      </c>
      <c r="S107" s="380" t="s">
        <v>126</v>
      </c>
      <c r="T107" s="380"/>
    </row>
    <row r="108" spans="1:23" ht="15" thickBot="1" x14ac:dyDescent="0.25"/>
    <row r="109" spans="1:23" ht="52.5" customHeight="1" thickTop="1" thickBot="1" x14ac:dyDescent="0.25">
      <c r="A109" s="384" t="s">
        <v>64</v>
      </c>
      <c r="B109" s="364" t="s">
        <v>0</v>
      </c>
      <c r="C109" s="360" t="s">
        <v>5</v>
      </c>
      <c r="D109" s="360"/>
      <c r="E109" s="360" t="s">
        <v>29</v>
      </c>
      <c r="F109" s="360" t="s">
        <v>30</v>
      </c>
      <c r="G109" s="364" t="s">
        <v>7</v>
      </c>
      <c r="H109" s="357" t="s">
        <v>8</v>
      </c>
      <c r="I109" s="358"/>
      <c r="J109" s="359"/>
      <c r="K109" s="357" t="s">
        <v>11</v>
      </c>
      <c r="L109" s="358"/>
      <c r="M109" s="358"/>
      <c r="N109" s="358"/>
      <c r="O109" s="358"/>
      <c r="P109" s="358"/>
      <c r="Q109" s="359"/>
      <c r="R109" s="357" t="s">
        <v>31</v>
      </c>
      <c r="S109" s="358"/>
      <c r="T109" s="358"/>
      <c r="U109" s="358"/>
      <c r="V109" s="358"/>
      <c r="W109" s="359"/>
    </row>
    <row r="110" spans="1:23" ht="111.75" customHeight="1" thickTop="1" thickBot="1" x14ac:dyDescent="0.25">
      <c r="A110" s="385"/>
      <c r="B110" s="365"/>
      <c r="C110" s="60" t="s">
        <v>3</v>
      </c>
      <c r="D110" s="60" t="s">
        <v>4</v>
      </c>
      <c r="E110" s="360"/>
      <c r="F110" s="360"/>
      <c r="G110" s="365"/>
      <c r="H110" s="60" t="s">
        <v>17</v>
      </c>
      <c r="I110" s="60" t="s">
        <v>68</v>
      </c>
      <c r="J110" s="60" t="s">
        <v>6</v>
      </c>
      <c r="K110" s="60" t="s">
        <v>9</v>
      </c>
      <c r="L110" s="60" t="s">
        <v>10</v>
      </c>
      <c r="M110" s="60" t="s">
        <v>12</v>
      </c>
      <c r="N110" s="60" t="s">
        <v>24</v>
      </c>
      <c r="O110" s="60" t="s">
        <v>25</v>
      </c>
      <c r="P110" s="60" t="s">
        <v>436</v>
      </c>
      <c r="Q110" s="60" t="s">
        <v>23</v>
      </c>
      <c r="R110" s="61" t="s">
        <v>6</v>
      </c>
      <c r="S110" s="61" t="s">
        <v>22</v>
      </c>
      <c r="T110" s="61" t="s">
        <v>20</v>
      </c>
      <c r="U110" s="61" t="s">
        <v>32</v>
      </c>
      <c r="V110" s="61" t="s">
        <v>33</v>
      </c>
      <c r="W110" s="294" t="s">
        <v>386</v>
      </c>
    </row>
    <row r="111" spans="1:23" ht="15" thickTop="1" x14ac:dyDescent="0.2">
      <c r="A111" s="369" t="s">
        <v>127</v>
      </c>
      <c r="B111" s="33" t="s">
        <v>104</v>
      </c>
      <c r="C111" s="70">
        <v>44197</v>
      </c>
      <c r="D111" s="34">
        <v>44227</v>
      </c>
      <c r="E111" s="35">
        <v>0</v>
      </c>
      <c r="F111" s="35">
        <v>0</v>
      </c>
      <c r="G111" s="147">
        <v>6083</v>
      </c>
      <c r="H111" s="35">
        <v>0</v>
      </c>
      <c r="I111" s="35">
        <v>0</v>
      </c>
      <c r="J111" s="35">
        <f t="shared" ref="J111:J123" si="72">+I111+H111</f>
        <v>0</v>
      </c>
      <c r="K111" s="35">
        <v>125310</v>
      </c>
      <c r="L111" s="35">
        <f>96719+121</f>
        <v>96840</v>
      </c>
      <c r="M111" s="35">
        <v>0</v>
      </c>
      <c r="N111" s="35">
        <f>4927+487</f>
        <v>5414</v>
      </c>
      <c r="O111" s="35">
        <v>9003</v>
      </c>
      <c r="P111" s="35">
        <v>1889</v>
      </c>
      <c r="Q111" s="147">
        <f>+P111+O111+N111+M111+L111+K111</f>
        <v>238456</v>
      </c>
      <c r="R111" s="36">
        <f t="shared" ref="R111:R124" si="73">+Q111/G111</f>
        <v>39.200394542166691</v>
      </c>
      <c r="S111" s="36">
        <f t="shared" ref="S111:S124" si="74">+K111/G111</f>
        <v>20.60003287851389</v>
      </c>
      <c r="T111" s="36">
        <f t="shared" ref="T111:T124" si="75">+L111/G111</f>
        <v>15.919776426105541</v>
      </c>
      <c r="U111" s="36">
        <f t="shared" ref="U111:U124" si="76">+N111/G111</f>
        <v>0.89002137103402923</v>
      </c>
      <c r="V111" s="36">
        <f t="shared" ref="V111:V124" si="77">+O111/G111</f>
        <v>1.4800263028111129</v>
      </c>
      <c r="W111" s="36">
        <f t="shared" ref="W111:W124" si="78">+P111/G111</f>
        <v>0.31053756370212066</v>
      </c>
    </row>
    <row r="112" spans="1:23" x14ac:dyDescent="0.2">
      <c r="A112" s="369"/>
      <c r="B112" s="33" t="s">
        <v>105</v>
      </c>
      <c r="C112" s="70">
        <v>44228</v>
      </c>
      <c r="D112" s="34">
        <v>44255</v>
      </c>
      <c r="E112" s="35">
        <v>0</v>
      </c>
      <c r="F112" s="35">
        <v>0</v>
      </c>
      <c r="G112" s="147">
        <v>6083</v>
      </c>
      <c r="H112" s="35">
        <v>0</v>
      </c>
      <c r="I112" s="35">
        <v>0</v>
      </c>
      <c r="J112" s="35">
        <f t="shared" si="72"/>
        <v>0</v>
      </c>
      <c r="K112" s="35">
        <v>125310</v>
      </c>
      <c r="L112" s="35">
        <v>96840</v>
      </c>
      <c r="M112" s="35">
        <v>0</v>
      </c>
      <c r="N112" s="35">
        <v>5414</v>
      </c>
      <c r="O112" s="35">
        <v>14234</v>
      </c>
      <c r="P112" s="35">
        <v>1889</v>
      </c>
      <c r="Q112" s="147">
        <f t="shared" ref="Q112:Q122" si="79">+P112+O112+N112+M112+L112+K112</f>
        <v>243687</v>
      </c>
      <c r="R112" s="36">
        <f t="shared" si="73"/>
        <v>40.060332072990299</v>
      </c>
      <c r="S112" s="36">
        <f t="shared" si="74"/>
        <v>20.60003287851389</v>
      </c>
      <c r="T112" s="36">
        <f t="shared" si="75"/>
        <v>15.919776426105541</v>
      </c>
      <c r="U112" s="36">
        <f t="shared" si="76"/>
        <v>0.89002137103402923</v>
      </c>
      <c r="V112" s="36">
        <f t="shared" si="77"/>
        <v>2.3399638336347195</v>
      </c>
      <c r="W112" s="36">
        <f t="shared" si="78"/>
        <v>0.31053756370212066</v>
      </c>
    </row>
    <row r="113" spans="1:23" x14ac:dyDescent="0.2">
      <c r="A113" s="369"/>
      <c r="B113" s="33" t="s">
        <v>106</v>
      </c>
      <c r="C113" s="70">
        <v>44256</v>
      </c>
      <c r="D113" s="34">
        <v>44286</v>
      </c>
      <c r="E113" s="35">
        <v>0</v>
      </c>
      <c r="F113" s="35">
        <v>0</v>
      </c>
      <c r="G113" s="147">
        <v>6083</v>
      </c>
      <c r="H113" s="35">
        <v>0</v>
      </c>
      <c r="I113" s="35">
        <v>0</v>
      </c>
      <c r="J113" s="35">
        <f t="shared" si="72"/>
        <v>0</v>
      </c>
      <c r="K113" s="35">
        <v>125310</v>
      </c>
      <c r="L113" s="35">
        <v>96840</v>
      </c>
      <c r="M113" s="35">
        <v>0</v>
      </c>
      <c r="N113" s="35">
        <v>5414</v>
      </c>
      <c r="O113" s="35">
        <v>18492</v>
      </c>
      <c r="P113" s="35">
        <v>1889</v>
      </c>
      <c r="Q113" s="147">
        <f t="shared" si="79"/>
        <v>247945</v>
      </c>
      <c r="R113" s="36">
        <f t="shared" si="73"/>
        <v>40.760315633733356</v>
      </c>
      <c r="S113" s="36">
        <f t="shared" si="74"/>
        <v>20.60003287851389</v>
      </c>
      <c r="T113" s="36">
        <f t="shared" si="75"/>
        <v>15.919776426105541</v>
      </c>
      <c r="U113" s="36">
        <f t="shared" si="76"/>
        <v>0.89002137103402923</v>
      </c>
      <c r="V113" s="36">
        <f t="shared" si="77"/>
        <v>3.0399473943777742</v>
      </c>
      <c r="W113" s="36">
        <f t="shared" si="78"/>
        <v>0.31053756370212066</v>
      </c>
    </row>
    <row r="114" spans="1:23" x14ac:dyDescent="0.2">
      <c r="A114" s="369"/>
      <c r="B114" s="33" t="s">
        <v>107</v>
      </c>
      <c r="C114" s="70">
        <v>44287</v>
      </c>
      <c r="D114" s="34">
        <v>44316</v>
      </c>
      <c r="E114" s="35">
        <v>0</v>
      </c>
      <c r="F114" s="35">
        <v>0</v>
      </c>
      <c r="G114" s="147">
        <v>6083</v>
      </c>
      <c r="H114" s="35">
        <v>0</v>
      </c>
      <c r="I114" s="35">
        <v>0</v>
      </c>
      <c r="J114" s="35">
        <f t="shared" si="72"/>
        <v>0</v>
      </c>
      <c r="K114" s="35">
        <v>125310</v>
      </c>
      <c r="L114" s="35">
        <f>99682+121</f>
        <v>99803</v>
      </c>
      <c r="M114" s="35">
        <v>0</v>
      </c>
      <c r="N114" s="35">
        <f>4927+487</f>
        <v>5414</v>
      </c>
      <c r="O114" s="35">
        <v>16850</v>
      </c>
      <c r="P114" s="35">
        <v>1889</v>
      </c>
      <c r="Q114" s="147">
        <f t="shared" si="79"/>
        <v>249266</v>
      </c>
      <c r="R114" s="36">
        <f t="shared" si="73"/>
        <v>40.977478217984547</v>
      </c>
      <c r="S114" s="36">
        <f t="shared" si="74"/>
        <v>20.60003287851389</v>
      </c>
      <c r="T114" s="36">
        <f t="shared" si="75"/>
        <v>16.406871609403254</v>
      </c>
      <c r="U114" s="36">
        <f t="shared" si="76"/>
        <v>0.89002137103402923</v>
      </c>
      <c r="V114" s="36">
        <f t="shared" si="77"/>
        <v>2.7700147953312508</v>
      </c>
      <c r="W114" s="36">
        <f t="shared" si="78"/>
        <v>0.31053756370212066</v>
      </c>
    </row>
    <row r="115" spans="1:23" x14ac:dyDescent="0.2">
      <c r="A115" s="369"/>
      <c r="B115" s="33" t="s">
        <v>108</v>
      </c>
      <c r="C115" s="70">
        <v>44317</v>
      </c>
      <c r="D115" s="34">
        <v>44347</v>
      </c>
      <c r="E115" s="35">
        <v>0</v>
      </c>
      <c r="F115" s="35">
        <v>0</v>
      </c>
      <c r="G115" s="147">
        <v>6083</v>
      </c>
      <c r="H115" s="35">
        <v>0</v>
      </c>
      <c r="I115" s="35">
        <v>0</v>
      </c>
      <c r="J115" s="35">
        <f t="shared" si="72"/>
        <v>0</v>
      </c>
      <c r="K115" s="35">
        <v>125310</v>
      </c>
      <c r="L115" s="35">
        <f>99682+121</f>
        <v>99803</v>
      </c>
      <c r="M115" s="35">
        <v>0</v>
      </c>
      <c r="N115" s="35">
        <v>5414</v>
      </c>
      <c r="O115" s="35">
        <v>19648</v>
      </c>
      <c r="P115" s="35">
        <v>1889</v>
      </c>
      <c r="Q115" s="147">
        <f t="shared" si="79"/>
        <v>252064</v>
      </c>
      <c r="R115" s="36">
        <f t="shared" si="73"/>
        <v>41.437448627322048</v>
      </c>
      <c r="S115" s="36">
        <f t="shared" si="74"/>
        <v>20.60003287851389</v>
      </c>
      <c r="T115" s="36">
        <f t="shared" si="75"/>
        <v>16.406871609403254</v>
      </c>
      <c r="U115" s="36">
        <f t="shared" si="76"/>
        <v>0.89002137103402923</v>
      </c>
      <c r="V115" s="36">
        <f t="shared" si="77"/>
        <v>3.2299852046687492</v>
      </c>
      <c r="W115" s="36">
        <f t="shared" si="78"/>
        <v>0.31053756370212066</v>
      </c>
    </row>
    <row r="116" spans="1:23" x14ac:dyDescent="0.2">
      <c r="A116" s="369"/>
      <c r="B116" s="33" t="s">
        <v>109</v>
      </c>
      <c r="C116" s="70">
        <v>44348</v>
      </c>
      <c r="D116" s="34">
        <v>44377</v>
      </c>
      <c r="E116" s="35">
        <v>0</v>
      </c>
      <c r="F116" s="35">
        <v>0</v>
      </c>
      <c r="G116" s="147">
        <v>6083</v>
      </c>
      <c r="H116" s="35">
        <v>0</v>
      </c>
      <c r="I116" s="35">
        <v>0</v>
      </c>
      <c r="J116" s="35">
        <f t="shared" si="72"/>
        <v>0</v>
      </c>
      <c r="K116" s="35">
        <v>125310</v>
      </c>
      <c r="L116" s="35">
        <v>99803</v>
      </c>
      <c r="M116" s="35">
        <v>0</v>
      </c>
      <c r="N116" s="35">
        <v>5414</v>
      </c>
      <c r="O116" s="35">
        <v>10341</v>
      </c>
      <c r="P116" s="35">
        <v>1889</v>
      </c>
      <c r="Q116" s="147">
        <f t="shared" si="79"/>
        <v>242757</v>
      </c>
      <c r="R116" s="36">
        <f t="shared" si="73"/>
        <v>39.907446983396348</v>
      </c>
      <c r="S116" s="36">
        <f t="shared" si="74"/>
        <v>20.60003287851389</v>
      </c>
      <c r="T116" s="36">
        <f t="shared" si="75"/>
        <v>16.406871609403254</v>
      </c>
      <c r="U116" s="36">
        <f t="shared" si="76"/>
        <v>0.89002137103402923</v>
      </c>
      <c r="V116" s="36">
        <f t="shared" si="77"/>
        <v>1.6999835607430545</v>
      </c>
      <c r="W116" s="36">
        <f t="shared" si="78"/>
        <v>0.31053756370212066</v>
      </c>
    </row>
    <row r="117" spans="1:23" x14ac:dyDescent="0.2">
      <c r="A117" s="369"/>
      <c r="B117" s="33" t="s">
        <v>110</v>
      </c>
      <c r="C117" s="70">
        <v>44378</v>
      </c>
      <c r="D117" s="34">
        <v>44408</v>
      </c>
      <c r="E117" s="35">
        <v>0</v>
      </c>
      <c r="F117" s="35">
        <v>0</v>
      </c>
      <c r="G117" s="147">
        <v>6083</v>
      </c>
      <c r="H117" s="35">
        <v>0</v>
      </c>
      <c r="I117" s="35">
        <v>0</v>
      </c>
      <c r="J117" s="35">
        <f t="shared" si="72"/>
        <v>0</v>
      </c>
      <c r="K117" s="144">
        <v>125310</v>
      </c>
      <c r="L117" s="144">
        <v>99803</v>
      </c>
      <c r="M117" s="144">
        <v>0</v>
      </c>
      <c r="N117" s="144">
        <f>8820+487</f>
        <v>9307</v>
      </c>
      <c r="O117" s="144">
        <v>1217</v>
      </c>
      <c r="P117" s="144">
        <v>1889</v>
      </c>
      <c r="Q117" s="147">
        <f t="shared" si="79"/>
        <v>237526</v>
      </c>
      <c r="R117" s="36">
        <f t="shared" si="73"/>
        <v>39.047509452572747</v>
      </c>
      <c r="S117" s="36">
        <f t="shared" si="74"/>
        <v>20.60003287851389</v>
      </c>
      <c r="T117" s="36">
        <f t="shared" si="75"/>
        <v>16.406871609403254</v>
      </c>
      <c r="U117" s="36">
        <f t="shared" si="76"/>
        <v>1.5300016439256945</v>
      </c>
      <c r="V117" s="36">
        <f t="shared" si="77"/>
        <v>0.20006575702778234</v>
      </c>
      <c r="W117" s="36">
        <f t="shared" si="78"/>
        <v>0.31053756370212066</v>
      </c>
    </row>
    <row r="118" spans="1:23" x14ac:dyDescent="0.2">
      <c r="A118" s="369"/>
      <c r="B118" s="33" t="s">
        <v>111</v>
      </c>
      <c r="C118" s="70">
        <v>44409</v>
      </c>
      <c r="D118" s="34">
        <v>44439</v>
      </c>
      <c r="E118" s="35">
        <v>0</v>
      </c>
      <c r="F118" s="35">
        <v>0</v>
      </c>
      <c r="G118" s="147">
        <v>6083</v>
      </c>
      <c r="H118" s="35">
        <v>0</v>
      </c>
      <c r="I118" s="35">
        <v>0</v>
      </c>
      <c r="J118" s="35">
        <f t="shared" si="72"/>
        <v>0</v>
      </c>
      <c r="K118" s="144">
        <v>125310</v>
      </c>
      <c r="L118" s="144">
        <v>99803</v>
      </c>
      <c r="M118" s="144">
        <v>0</v>
      </c>
      <c r="N118" s="144">
        <v>9307</v>
      </c>
      <c r="O118" s="144">
        <v>0</v>
      </c>
      <c r="P118" s="144">
        <v>1889</v>
      </c>
      <c r="Q118" s="147">
        <f t="shared" si="79"/>
        <v>236309</v>
      </c>
      <c r="R118" s="36">
        <f t="shared" si="73"/>
        <v>38.84744369554496</v>
      </c>
      <c r="S118" s="36">
        <f t="shared" si="74"/>
        <v>20.60003287851389</v>
      </c>
      <c r="T118" s="36">
        <f t="shared" si="75"/>
        <v>16.406871609403254</v>
      </c>
      <c r="U118" s="36">
        <f t="shared" si="76"/>
        <v>1.5300016439256945</v>
      </c>
      <c r="V118" s="36">
        <f t="shared" si="77"/>
        <v>0</v>
      </c>
      <c r="W118" s="36">
        <f t="shared" si="78"/>
        <v>0.31053756370212066</v>
      </c>
    </row>
    <row r="119" spans="1:23" x14ac:dyDescent="0.2">
      <c r="A119" s="369"/>
      <c r="B119" s="33" t="s">
        <v>112</v>
      </c>
      <c r="C119" s="70">
        <v>44440</v>
      </c>
      <c r="D119" s="34">
        <v>44469</v>
      </c>
      <c r="E119" s="35">
        <v>0</v>
      </c>
      <c r="F119" s="35">
        <v>0</v>
      </c>
      <c r="G119" s="147">
        <v>6083</v>
      </c>
      <c r="H119" s="35">
        <v>0</v>
      </c>
      <c r="I119" s="35">
        <v>0</v>
      </c>
      <c r="J119" s="35">
        <f t="shared" si="72"/>
        <v>0</v>
      </c>
      <c r="K119" s="35">
        <v>125310</v>
      </c>
      <c r="L119" s="35">
        <v>99803</v>
      </c>
      <c r="M119" s="35">
        <v>0</v>
      </c>
      <c r="N119" s="35">
        <v>9307</v>
      </c>
      <c r="O119" s="35">
        <v>0</v>
      </c>
      <c r="P119" s="35">
        <v>1889</v>
      </c>
      <c r="Q119" s="147">
        <f t="shared" si="79"/>
        <v>236309</v>
      </c>
      <c r="R119" s="36">
        <f t="shared" si="73"/>
        <v>38.84744369554496</v>
      </c>
      <c r="S119" s="36">
        <f t="shared" si="74"/>
        <v>20.60003287851389</v>
      </c>
      <c r="T119" s="36">
        <f t="shared" si="75"/>
        <v>16.406871609403254</v>
      </c>
      <c r="U119" s="36">
        <f t="shared" si="76"/>
        <v>1.5300016439256945</v>
      </c>
      <c r="V119" s="36">
        <f t="shared" si="77"/>
        <v>0</v>
      </c>
      <c r="W119" s="36">
        <f t="shared" si="78"/>
        <v>0.31053756370212066</v>
      </c>
    </row>
    <row r="120" spans="1:23" x14ac:dyDescent="0.2">
      <c r="A120" s="369"/>
      <c r="B120" s="33" t="s">
        <v>113</v>
      </c>
      <c r="C120" s="70">
        <v>44470</v>
      </c>
      <c r="D120" s="34">
        <v>44500</v>
      </c>
      <c r="E120" s="35">
        <v>0</v>
      </c>
      <c r="F120" s="35">
        <v>0</v>
      </c>
      <c r="G120" s="147">
        <v>6083</v>
      </c>
      <c r="H120" s="35">
        <v>0</v>
      </c>
      <c r="I120" s="35">
        <v>0</v>
      </c>
      <c r="J120" s="35">
        <f t="shared" si="72"/>
        <v>0</v>
      </c>
      <c r="K120" s="35">
        <v>125310</v>
      </c>
      <c r="L120" s="35">
        <v>99803</v>
      </c>
      <c r="M120" s="35">
        <v>0</v>
      </c>
      <c r="N120" s="35">
        <v>9307</v>
      </c>
      <c r="O120" s="35">
        <v>0</v>
      </c>
      <c r="P120" s="35">
        <f>1889+1642</f>
        <v>3531</v>
      </c>
      <c r="Q120" s="147">
        <f t="shared" ref="Q120" si="80">+P120+O120+N120+M120+L120+K120</f>
        <v>237951</v>
      </c>
      <c r="R120" s="36">
        <f t="shared" ref="R120" si="81">+Q120/G120</f>
        <v>39.117376294591487</v>
      </c>
      <c r="S120" s="36">
        <f t="shared" ref="S120" si="82">+K120/G120</f>
        <v>20.60003287851389</v>
      </c>
      <c r="T120" s="36">
        <f t="shared" ref="T120" si="83">+L120/G120</f>
        <v>16.406871609403254</v>
      </c>
      <c r="U120" s="36">
        <f t="shared" ref="U120" si="84">+N120/G120</f>
        <v>1.5300016439256945</v>
      </c>
      <c r="V120" s="36">
        <f t="shared" ref="V120" si="85">+O120/G120</f>
        <v>0</v>
      </c>
      <c r="W120" s="36">
        <f t="shared" ref="W120" si="86">+P120/G120</f>
        <v>0.58047016274864371</v>
      </c>
    </row>
    <row r="121" spans="1:23" x14ac:dyDescent="0.2">
      <c r="A121" s="369"/>
      <c r="B121" s="33" t="s">
        <v>114</v>
      </c>
      <c r="C121" s="70">
        <v>44501</v>
      </c>
      <c r="D121" s="34">
        <v>44530</v>
      </c>
      <c r="E121" s="35">
        <v>0</v>
      </c>
      <c r="F121" s="35">
        <v>0</v>
      </c>
      <c r="G121" s="147">
        <v>6083</v>
      </c>
      <c r="H121" s="35">
        <v>0</v>
      </c>
      <c r="I121" s="35">
        <v>0</v>
      </c>
      <c r="J121" s="35">
        <f t="shared" ref="J121:J122" si="87">+I121+H121</f>
        <v>0</v>
      </c>
      <c r="K121" s="35">
        <v>125310</v>
      </c>
      <c r="L121" s="35">
        <v>99803</v>
      </c>
      <c r="M121" s="35">
        <v>0</v>
      </c>
      <c r="N121" s="35">
        <v>9307</v>
      </c>
      <c r="O121" s="35">
        <v>0</v>
      </c>
      <c r="P121" s="35">
        <f>1889+1642</f>
        <v>3531</v>
      </c>
      <c r="Q121" s="147">
        <f t="shared" si="79"/>
        <v>237951</v>
      </c>
      <c r="R121" s="36">
        <f t="shared" ref="R121:R122" si="88">+Q121/G121</f>
        <v>39.117376294591487</v>
      </c>
      <c r="S121" s="36">
        <f t="shared" ref="S121:S122" si="89">+K121/G121</f>
        <v>20.60003287851389</v>
      </c>
      <c r="T121" s="36">
        <f t="shared" ref="T121:T122" si="90">+L121/G121</f>
        <v>16.406871609403254</v>
      </c>
      <c r="U121" s="36">
        <f t="shared" ref="U121:U122" si="91">+N121/G121</f>
        <v>1.5300016439256945</v>
      </c>
      <c r="V121" s="36">
        <f t="shared" ref="V121:V122" si="92">+O121/G121</f>
        <v>0</v>
      </c>
      <c r="W121" s="36">
        <f t="shared" ref="W121:W122" si="93">+P121/G121</f>
        <v>0.58047016274864371</v>
      </c>
    </row>
    <row r="122" spans="1:23" x14ac:dyDescent="0.2">
      <c r="A122" s="369"/>
      <c r="B122" s="33" t="s">
        <v>349</v>
      </c>
      <c r="C122" s="333">
        <v>44531</v>
      </c>
      <c r="D122" s="334">
        <v>44561</v>
      </c>
      <c r="E122" s="38">
        <v>0</v>
      </c>
      <c r="F122" s="38">
        <v>0</v>
      </c>
      <c r="G122" s="148">
        <v>6083</v>
      </c>
      <c r="H122" s="38">
        <v>0</v>
      </c>
      <c r="I122" s="38">
        <v>0</v>
      </c>
      <c r="J122" s="38">
        <f t="shared" si="87"/>
        <v>0</v>
      </c>
      <c r="K122" s="35">
        <v>125310</v>
      </c>
      <c r="L122" s="35">
        <v>99803</v>
      </c>
      <c r="M122" s="35">
        <v>0</v>
      </c>
      <c r="N122" s="35">
        <v>9307</v>
      </c>
      <c r="O122" s="35">
        <v>0</v>
      </c>
      <c r="P122" s="35">
        <f>1889+1642</f>
        <v>3531</v>
      </c>
      <c r="Q122" s="148">
        <f t="shared" si="79"/>
        <v>237951</v>
      </c>
      <c r="R122" s="39">
        <f t="shared" si="88"/>
        <v>39.117376294591487</v>
      </c>
      <c r="S122" s="39">
        <f t="shared" si="89"/>
        <v>20.60003287851389</v>
      </c>
      <c r="T122" s="39">
        <f t="shared" si="90"/>
        <v>16.406871609403254</v>
      </c>
      <c r="U122" s="36">
        <f t="shared" si="91"/>
        <v>1.5300016439256945</v>
      </c>
      <c r="V122" s="39">
        <f t="shared" si="92"/>
        <v>0</v>
      </c>
      <c r="W122" s="39">
        <f t="shared" si="93"/>
        <v>0.58047016274864371</v>
      </c>
    </row>
    <row r="123" spans="1:23" ht="15" thickBot="1" x14ac:dyDescent="0.25">
      <c r="A123" s="383"/>
      <c r="B123" s="71" t="s">
        <v>440</v>
      </c>
      <c r="C123" s="72">
        <v>44197</v>
      </c>
      <c r="D123" s="73">
        <v>44561</v>
      </c>
      <c r="E123" s="74">
        <v>0</v>
      </c>
      <c r="F123" s="74">
        <v>0</v>
      </c>
      <c r="G123" s="193">
        <v>-12024</v>
      </c>
      <c r="H123" s="74">
        <v>0</v>
      </c>
      <c r="I123" s="74">
        <v>0</v>
      </c>
      <c r="J123" s="74">
        <f t="shared" si="72"/>
        <v>0</v>
      </c>
      <c r="K123" s="74">
        <v>-247696</v>
      </c>
      <c r="L123" s="74">
        <v>-195468</v>
      </c>
      <c r="M123" s="74">
        <v>0</v>
      </c>
      <c r="N123" s="74">
        <f>-5070-8350-968</f>
        <v>-14388</v>
      </c>
      <c r="O123" s="74">
        <f>-29659+14388</f>
        <v>-15271</v>
      </c>
      <c r="P123" s="74">
        <f>-3736-777</f>
        <v>-4513</v>
      </c>
      <c r="Q123" s="193">
        <f t="shared" ref="Q123" si="94">+P123+O123+N123+M123+L123+K123</f>
        <v>-477336</v>
      </c>
      <c r="R123" s="75">
        <f t="shared" si="73"/>
        <v>39.69860279441118</v>
      </c>
      <c r="S123" s="75">
        <f t="shared" si="74"/>
        <v>20.600133067198936</v>
      </c>
      <c r="T123" s="75">
        <f t="shared" si="75"/>
        <v>16.256487025948104</v>
      </c>
      <c r="U123" s="75">
        <f t="shared" si="76"/>
        <v>1.1966067864271457</v>
      </c>
      <c r="V123" s="75">
        <f t="shared" si="77"/>
        <v>1.2700432468396541</v>
      </c>
      <c r="W123" s="75">
        <f t="shared" si="78"/>
        <v>0.37533266799733866</v>
      </c>
    </row>
    <row r="124" spans="1:23" ht="27" customHeight="1" thickTop="1" thickBot="1" x14ac:dyDescent="0.25">
      <c r="A124" s="361" t="s">
        <v>6</v>
      </c>
      <c r="B124" s="362"/>
      <c r="C124" s="362"/>
      <c r="D124" s="363"/>
      <c r="E124" s="40"/>
      <c r="F124" s="40"/>
      <c r="G124" s="40">
        <f>SUM(G111:G123)</f>
        <v>60972</v>
      </c>
      <c r="H124" s="40">
        <f t="shared" ref="H124:Q124" si="95">SUM(H111:H123)</f>
        <v>0</v>
      </c>
      <c r="I124" s="40">
        <f t="shared" si="95"/>
        <v>0</v>
      </c>
      <c r="J124" s="40">
        <f t="shared" si="95"/>
        <v>0</v>
      </c>
      <c r="K124" s="40">
        <f t="shared" si="95"/>
        <v>1256024</v>
      </c>
      <c r="L124" s="40">
        <f t="shared" si="95"/>
        <v>993279</v>
      </c>
      <c r="M124" s="40">
        <f t="shared" si="95"/>
        <v>0</v>
      </c>
      <c r="N124" s="40">
        <f t="shared" si="95"/>
        <v>73938</v>
      </c>
      <c r="O124" s="40">
        <f t="shared" si="95"/>
        <v>74514</v>
      </c>
      <c r="P124" s="40">
        <f t="shared" si="95"/>
        <v>23081</v>
      </c>
      <c r="Q124" s="40">
        <f t="shared" si="95"/>
        <v>2420836</v>
      </c>
      <c r="R124" s="41">
        <f t="shared" si="73"/>
        <v>39.704060880404121</v>
      </c>
      <c r="S124" s="41">
        <f t="shared" si="74"/>
        <v>20.600013120776751</v>
      </c>
      <c r="T124" s="41">
        <f t="shared" si="75"/>
        <v>16.290740011808698</v>
      </c>
      <c r="U124" s="41">
        <f t="shared" si="76"/>
        <v>1.2126549891753591</v>
      </c>
      <c r="V124" s="41">
        <f t="shared" si="77"/>
        <v>1.2221019484353475</v>
      </c>
      <c r="W124" s="41">
        <f t="shared" si="78"/>
        <v>0.37855081020796433</v>
      </c>
    </row>
    <row r="125" spans="1:23" ht="15.75" thickTop="1" x14ac:dyDescent="0.25">
      <c r="A125" s="47" t="s">
        <v>86</v>
      </c>
      <c r="B125" s="382" t="s">
        <v>128</v>
      </c>
      <c r="C125" s="382"/>
      <c r="D125" s="382"/>
      <c r="E125" s="382"/>
      <c r="F125" s="382"/>
      <c r="G125" s="381" t="s">
        <v>87</v>
      </c>
      <c r="H125" s="381"/>
      <c r="I125" s="380" t="s">
        <v>420</v>
      </c>
      <c r="J125" s="380"/>
      <c r="K125" s="308" t="s">
        <v>100</v>
      </c>
      <c r="L125" s="381" t="s">
        <v>121</v>
      </c>
      <c r="M125" s="381"/>
      <c r="N125" s="381"/>
      <c r="O125" s="381"/>
      <c r="P125" s="67"/>
      <c r="Q125" s="67" t="s">
        <v>92</v>
      </c>
      <c r="S125" s="380" t="s">
        <v>129</v>
      </c>
      <c r="T125" s="380"/>
    </row>
    <row r="126" spans="1:23" ht="15" thickBot="1" x14ac:dyDescent="0.25"/>
    <row r="127" spans="1:23" ht="52.5" customHeight="1" thickTop="1" thickBot="1" x14ac:dyDescent="0.25">
      <c r="A127" s="384" t="s">
        <v>64</v>
      </c>
      <c r="B127" s="364" t="s">
        <v>0</v>
      </c>
      <c r="C127" s="360" t="s">
        <v>5</v>
      </c>
      <c r="D127" s="360"/>
      <c r="E127" s="360" t="s">
        <v>29</v>
      </c>
      <c r="F127" s="360" t="s">
        <v>30</v>
      </c>
      <c r="G127" s="364" t="s">
        <v>7</v>
      </c>
      <c r="H127" s="357" t="s">
        <v>8</v>
      </c>
      <c r="I127" s="358"/>
      <c r="J127" s="359"/>
      <c r="K127" s="357" t="s">
        <v>11</v>
      </c>
      <c r="L127" s="358"/>
      <c r="M127" s="358"/>
      <c r="N127" s="358"/>
      <c r="O127" s="358"/>
      <c r="P127" s="358"/>
      <c r="Q127" s="359"/>
      <c r="R127" s="357" t="s">
        <v>31</v>
      </c>
      <c r="S127" s="358"/>
      <c r="T127" s="358"/>
      <c r="U127" s="358"/>
      <c r="V127" s="358"/>
      <c r="W127" s="359"/>
    </row>
    <row r="128" spans="1:23" ht="111.75" customHeight="1" thickTop="1" thickBot="1" x14ac:dyDescent="0.25">
      <c r="A128" s="385"/>
      <c r="B128" s="365"/>
      <c r="C128" s="60" t="s">
        <v>3</v>
      </c>
      <c r="D128" s="60" t="s">
        <v>4</v>
      </c>
      <c r="E128" s="360"/>
      <c r="F128" s="360"/>
      <c r="G128" s="365"/>
      <c r="H128" s="60" t="s">
        <v>17</v>
      </c>
      <c r="I128" s="60" t="s">
        <v>68</v>
      </c>
      <c r="J128" s="60" t="s">
        <v>6</v>
      </c>
      <c r="K128" s="60" t="s">
        <v>9</v>
      </c>
      <c r="L128" s="60" t="s">
        <v>10</v>
      </c>
      <c r="M128" s="60" t="s">
        <v>12</v>
      </c>
      <c r="N128" s="60" t="s">
        <v>24</v>
      </c>
      <c r="O128" s="60" t="s">
        <v>25</v>
      </c>
      <c r="P128" s="60" t="s">
        <v>379</v>
      </c>
      <c r="Q128" s="60" t="s">
        <v>23</v>
      </c>
      <c r="R128" s="61" t="s">
        <v>6</v>
      </c>
      <c r="S128" s="61" t="s">
        <v>22</v>
      </c>
      <c r="T128" s="61" t="s">
        <v>20</v>
      </c>
      <c r="U128" s="61" t="s">
        <v>32</v>
      </c>
      <c r="V128" s="61" t="s">
        <v>33</v>
      </c>
      <c r="W128" s="294" t="s">
        <v>386</v>
      </c>
    </row>
    <row r="129" spans="1:23" ht="15" thickTop="1" x14ac:dyDescent="0.2">
      <c r="A129" s="369"/>
      <c r="B129" s="33" t="s">
        <v>104</v>
      </c>
      <c r="C129" s="70">
        <v>44197</v>
      </c>
      <c r="D129" s="34">
        <v>44227</v>
      </c>
      <c r="E129" s="35">
        <v>0</v>
      </c>
      <c r="F129" s="35">
        <v>0</v>
      </c>
      <c r="G129" s="147">
        <v>0</v>
      </c>
      <c r="H129" s="35">
        <v>0</v>
      </c>
      <c r="I129" s="35">
        <v>0</v>
      </c>
      <c r="J129" s="35">
        <f t="shared" ref="J129:J141" si="96">+I129+H129</f>
        <v>0</v>
      </c>
      <c r="K129" s="35">
        <v>0</v>
      </c>
      <c r="L129" s="35">
        <v>121</v>
      </c>
      <c r="M129" s="35">
        <v>0</v>
      </c>
      <c r="N129" s="35">
        <v>0</v>
      </c>
      <c r="O129" s="35">
        <v>0</v>
      </c>
      <c r="P129" s="35">
        <v>0</v>
      </c>
      <c r="Q129" s="147">
        <f t="shared" ref="Q129:Q141" si="97">+P129+O129+N129+M129+L129+K129</f>
        <v>121</v>
      </c>
      <c r="R129" s="36" t="e">
        <f t="shared" ref="R129:R142" si="98">+Q129/G129</f>
        <v>#DIV/0!</v>
      </c>
      <c r="S129" s="36" t="e">
        <f t="shared" ref="S129:S142" si="99">+K129/G129</f>
        <v>#DIV/0!</v>
      </c>
      <c r="T129" s="36" t="e">
        <f t="shared" ref="T129:T142" si="100">+L129/G129</f>
        <v>#DIV/0!</v>
      </c>
      <c r="U129" s="36" t="e">
        <f t="shared" ref="U129:U142" si="101">+N129/G129</f>
        <v>#DIV/0!</v>
      </c>
      <c r="V129" s="36" t="e">
        <f t="shared" ref="V129:V142" si="102">+O129/G129</f>
        <v>#DIV/0!</v>
      </c>
      <c r="W129" s="36" t="e">
        <f t="shared" ref="W129:W142" si="103">+P129/G129</f>
        <v>#DIV/0!</v>
      </c>
    </row>
    <row r="130" spans="1:23" x14ac:dyDescent="0.2">
      <c r="A130" s="369"/>
      <c r="B130" s="33" t="s">
        <v>105</v>
      </c>
      <c r="C130" s="70">
        <v>44228</v>
      </c>
      <c r="D130" s="34">
        <v>44255</v>
      </c>
      <c r="E130" s="35">
        <v>0</v>
      </c>
      <c r="F130" s="35">
        <v>0</v>
      </c>
      <c r="G130" s="147">
        <v>0</v>
      </c>
      <c r="H130" s="35">
        <v>0</v>
      </c>
      <c r="I130" s="35">
        <v>0</v>
      </c>
      <c r="J130" s="35">
        <f t="shared" si="96"/>
        <v>0</v>
      </c>
      <c r="K130" s="35">
        <v>0</v>
      </c>
      <c r="L130" s="35">
        <v>121</v>
      </c>
      <c r="M130" s="35">
        <v>0</v>
      </c>
      <c r="N130" s="35">
        <v>0</v>
      </c>
      <c r="O130" s="35">
        <v>0</v>
      </c>
      <c r="P130" s="35">
        <v>0</v>
      </c>
      <c r="Q130" s="147">
        <f t="shared" si="97"/>
        <v>121</v>
      </c>
      <c r="R130" s="36" t="e">
        <f t="shared" si="98"/>
        <v>#DIV/0!</v>
      </c>
      <c r="S130" s="36" t="e">
        <f t="shared" si="99"/>
        <v>#DIV/0!</v>
      </c>
      <c r="T130" s="36" t="e">
        <f t="shared" si="100"/>
        <v>#DIV/0!</v>
      </c>
      <c r="U130" s="36" t="e">
        <f t="shared" si="101"/>
        <v>#DIV/0!</v>
      </c>
      <c r="V130" s="36" t="e">
        <f t="shared" si="102"/>
        <v>#DIV/0!</v>
      </c>
      <c r="W130" s="36" t="e">
        <f t="shared" si="103"/>
        <v>#DIV/0!</v>
      </c>
    </row>
    <row r="131" spans="1:23" x14ac:dyDescent="0.2">
      <c r="A131" s="369"/>
      <c r="B131" s="33" t="s">
        <v>106</v>
      </c>
      <c r="C131" s="70">
        <v>44256</v>
      </c>
      <c r="D131" s="34">
        <v>44286</v>
      </c>
      <c r="E131" s="35">
        <v>0</v>
      </c>
      <c r="F131" s="35">
        <v>0</v>
      </c>
      <c r="G131" s="147">
        <v>0</v>
      </c>
      <c r="H131" s="35">
        <v>0</v>
      </c>
      <c r="I131" s="35">
        <v>0</v>
      </c>
      <c r="J131" s="35">
        <f t="shared" si="96"/>
        <v>0</v>
      </c>
      <c r="K131" s="35">
        <v>0</v>
      </c>
      <c r="L131" s="35">
        <v>121</v>
      </c>
      <c r="M131" s="35">
        <v>0</v>
      </c>
      <c r="N131" s="35">
        <v>0</v>
      </c>
      <c r="O131" s="35">
        <v>0</v>
      </c>
      <c r="P131" s="35">
        <v>0</v>
      </c>
      <c r="Q131" s="147">
        <f t="shared" si="97"/>
        <v>121</v>
      </c>
      <c r="R131" s="36" t="e">
        <f t="shared" si="98"/>
        <v>#DIV/0!</v>
      </c>
      <c r="S131" s="36" t="e">
        <f t="shared" si="99"/>
        <v>#DIV/0!</v>
      </c>
      <c r="T131" s="36" t="e">
        <f t="shared" si="100"/>
        <v>#DIV/0!</v>
      </c>
      <c r="U131" s="36" t="e">
        <f t="shared" si="101"/>
        <v>#DIV/0!</v>
      </c>
      <c r="V131" s="36" t="e">
        <f t="shared" si="102"/>
        <v>#DIV/0!</v>
      </c>
      <c r="W131" s="36" t="e">
        <f t="shared" si="103"/>
        <v>#DIV/0!</v>
      </c>
    </row>
    <row r="132" spans="1:23" x14ac:dyDescent="0.2">
      <c r="A132" s="369"/>
      <c r="B132" s="33" t="s">
        <v>107</v>
      </c>
      <c r="C132" s="70">
        <v>44287</v>
      </c>
      <c r="D132" s="34">
        <v>44316</v>
      </c>
      <c r="E132" s="35">
        <v>0</v>
      </c>
      <c r="F132" s="35">
        <v>0</v>
      </c>
      <c r="G132" s="147">
        <v>0</v>
      </c>
      <c r="H132" s="35">
        <v>0</v>
      </c>
      <c r="I132" s="35">
        <v>0</v>
      </c>
      <c r="J132" s="35">
        <f t="shared" si="96"/>
        <v>0</v>
      </c>
      <c r="K132" s="35">
        <v>0</v>
      </c>
      <c r="L132" s="35">
        <v>121</v>
      </c>
      <c r="M132" s="35">
        <v>0</v>
      </c>
      <c r="N132" s="35">
        <v>0</v>
      </c>
      <c r="O132" s="35">
        <v>0</v>
      </c>
      <c r="P132" s="35">
        <v>0</v>
      </c>
      <c r="Q132" s="147">
        <f t="shared" si="97"/>
        <v>121</v>
      </c>
      <c r="R132" s="36" t="e">
        <f t="shared" si="98"/>
        <v>#DIV/0!</v>
      </c>
      <c r="S132" s="36" t="e">
        <f t="shared" si="99"/>
        <v>#DIV/0!</v>
      </c>
      <c r="T132" s="36" t="e">
        <f t="shared" si="100"/>
        <v>#DIV/0!</v>
      </c>
      <c r="U132" s="36" t="e">
        <f t="shared" si="101"/>
        <v>#DIV/0!</v>
      </c>
      <c r="V132" s="36" t="e">
        <f t="shared" si="102"/>
        <v>#DIV/0!</v>
      </c>
      <c r="W132" s="36" t="e">
        <f t="shared" si="103"/>
        <v>#DIV/0!</v>
      </c>
    </row>
    <row r="133" spans="1:23" x14ac:dyDescent="0.2">
      <c r="A133" s="369"/>
      <c r="B133" s="33" t="s">
        <v>108</v>
      </c>
      <c r="C133" s="70">
        <v>44317</v>
      </c>
      <c r="D133" s="34">
        <v>44346</v>
      </c>
      <c r="E133" s="35">
        <v>0</v>
      </c>
      <c r="F133" s="35">
        <v>0</v>
      </c>
      <c r="G133" s="147">
        <v>0</v>
      </c>
      <c r="H133" s="35">
        <v>0</v>
      </c>
      <c r="I133" s="35">
        <v>0</v>
      </c>
      <c r="J133" s="35">
        <f t="shared" si="96"/>
        <v>0</v>
      </c>
      <c r="K133" s="35">
        <v>0</v>
      </c>
      <c r="L133" s="35">
        <v>121</v>
      </c>
      <c r="M133" s="35">
        <v>0</v>
      </c>
      <c r="N133" s="35">
        <v>0</v>
      </c>
      <c r="O133" s="35">
        <v>0</v>
      </c>
      <c r="P133" s="35">
        <v>0</v>
      </c>
      <c r="Q133" s="147">
        <f t="shared" si="97"/>
        <v>121</v>
      </c>
      <c r="R133" s="36" t="e">
        <f t="shared" si="98"/>
        <v>#DIV/0!</v>
      </c>
      <c r="S133" s="36" t="e">
        <f t="shared" si="99"/>
        <v>#DIV/0!</v>
      </c>
      <c r="T133" s="36" t="e">
        <f t="shared" si="100"/>
        <v>#DIV/0!</v>
      </c>
      <c r="U133" s="36" t="e">
        <f t="shared" si="101"/>
        <v>#DIV/0!</v>
      </c>
      <c r="V133" s="36" t="e">
        <f t="shared" si="102"/>
        <v>#DIV/0!</v>
      </c>
      <c r="W133" s="36" t="e">
        <f t="shared" si="103"/>
        <v>#DIV/0!</v>
      </c>
    </row>
    <row r="134" spans="1:23" x14ac:dyDescent="0.2">
      <c r="A134" s="369"/>
      <c r="B134" s="33" t="s">
        <v>109</v>
      </c>
      <c r="C134" s="70">
        <v>44348</v>
      </c>
      <c r="D134" s="34">
        <v>44377</v>
      </c>
      <c r="E134" s="35">
        <v>0</v>
      </c>
      <c r="F134" s="35">
        <v>0</v>
      </c>
      <c r="G134" s="147">
        <v>0</v>
      </c>
      <c r="H134" s="35">
        <v>0</v>
      </c>
      <c r="I134" s="35">
        <v>0</v>
      </c>
      <c r="J134" s="35">
        <f t="shared" si="96"/>
        <v>0</v>
      </c>
      <c r="K134" s="35">
        <v>0</v>
      </c>
      <c r="L134" s="35">
        <v>121</v>
      </c>
      <c r="M134" s="35">
        <v>0</v>
      </c>
      <c r="N134" s="35">
        <v>0</v>
      </c>
      <c r="O134" s="35">
        <v>0</v>
      </c>
      <c r="P134" s="35">
        <v>0</v>
      </c>
      <c r="Q134" s="147">
        <f t="shared" si="97"/>
        <v>121</v>
      </c>
      <c r="R134" s="36" t="e">
        <f t="shared" si="98"/>
        <v>#DIV/0!</v>
      </c>
      <c r="S134" s="36" t="e">
        <f t="shared" si="99"/>
        <v>#DIV/0!</v>
      </c>
      <c r="T134" s="36" t="e">
        <f t="shared" si="100"/>
        <v>#DIV/0!</v>
      </c>
      <c r="U134" s="36" t="e">
        <f t="shared" si="101"/>
        <v>#DIV/0!</v>
      </c>
      <c r="V134" s="36" t="e">
        <f t="shared" si="102"/>
        <v>#DIV/0!</v>
      </c>
      <c r="W134" s="36" t="e">
        <f t="shared" si="103"/>
        <v>#DIV/0!</v>
      </c>
    </row>
    <row r="135" spans="1:23" x14ac:dyDescent="0.2">
      <c r="A135" s="369"/>
      <c r="B135" s="33" t="s">
        <v>110</v>
      </c>
      <c r="C135" s="70">
        <v>44378</v>
      </c>
      <c r="D135" s="34">
        <v>44408</v>
      </c>
      <c r="E135" s="35">
        <v>0</v>
      </c>
      <c r="F135" s="35">
        <v>0</v>
      </c>
      <c r="G135" s="147">
        <v>0</v>
      </c>
      <c r="H135" s="35">
        <v>0</v>
      </c>
      <c r="I135" s="35">
        <v>0</v>
      </c>
      <c r="J135" s="35">
        <f t="shared" si="96"/>
        <v>0</v>
      </c>
      <c r="K135" s="35">
        <v>0</v>
      </c>
      <c r="L135" s="35">
        <v>121</v>
      </c>
      <c r="M135" s="35">
        <v>0</v>
      </c>
      <c r="N135" s="35">
        <v>0</v>
      </c>
      <c r="O135" s="35">
        <v>0</v>
      </c>
      <c r="P135" s="35">
        <v>0</v>
      </c>
      <c r="Q135" s="147">
        <f t="shared" si="97"/>
        <v>121</v>
      </c>
      <c r="R135" s="36" t="e">
        <f t="shared" si="98"/>
        <v>#DIV/0!</v>
      </c>
      <c r="S135" s="36" t="e">
        <f t="shared" si="99"/>
        <v>#DIV/0!</v>
      </c>
      <c r="T135" s="36" t="e">
        <f t="shared" si="100"/>
        <v>#DIV/0!</v>
      </c>
      <c r="U135" s="36" t="e">
        <f t="shared" si="101"/>
        <v>#DIV/0!</v>
      </c>
      <c r="V135" s="36" t="e">
        <f t="shared" si="102"/>
        <v>#DIV/0!</v>
      </c>
      <c r="W135" s="36" t="e">
        <f t="shared" si="103"/>
        <v>#DIV/0!</v>
      </c>
    </row>
    <row r="136" spans="1:23" x14ac:dyDescent="0.2">
      <c r="A136" s="369"/>
      <c r="B136" s="33" t="s">
        <v>111</v>
      </c>
      <c r="C136" s="70">
        <v>44409</v>
      </c>
      <c r="D136" s="34">
        <v>44439</v>
      </c>
      <c r="E136" s="35">
        <v>0</v>
      </c>
      <c r="F136" s="35">
        <v>0</v>
      </c>
      <c r="G136" s="147">
        <v>0</v>
      </c>
      <c r="H136" s="35">
        <v>0</v>
      </c>
      <c r="I136" s="35">
        <v>0</v>
      </c>
      <c r="J136" s="35">
        <f t="shared" si="96"/>
        <v>0</v>
      </c>
      <c r="K136" s="35">
        <v>0</v>
      </c>
      <c r="L136" s="35">
        <v>121</v>
      </c>
      <c r="M136" s="35">
        <v>0</v>
      </c>
      <c r="N136" s="35">
        <v>0</v>
      </c>
      <c r="O136" s="35">
        <v>0</v>
      </c>
      <c r="P136" s="35">
        <v>0</v>
      </c>
      <c r="Q136" s="147">
        <f t="shared" si="97"/>
        <v>121</v>
      </c>
      <c r="R136" s="36" t="e">
        <f t="shared" si="98"/>
        <v>#DIV/0!</v>
      </c>
      <c r="S136" s="36" t="e">
        <f t="shared" si="99"/>
        <v>#DIV/0!</v>
      </c>
      <c r="T136" s="36" t="e">
        <f t="shared" si="100"/>
        <v>#DIV/0!</v>
      </c>
      <c r="U136" s="36" t="e">
        <f t="shared" si="101"/>
        <v>#DIV/0!</v>
      </c>
      <c r="V136" s="36" t="e">
        <f t="shared" si="102"/>
        <v>#DIV/0!</v>
      </c>
      <c r="W136" s="36" t="e">
        <f t="shared" si="103"/>
        <v>#DIV/0!</v>
      </c>
    </row>
    <row r="137" spans="1:23" x14ac:dyDescent="0.2">
      <c r="A137" s="369"/>
      <c r="B137" s="33" t="s">
        <v>112</v>
      </c>
      <c r="C137" s="70">
        <v>44440</v>
      </c>
      <c r="D137" s="34">
        <v>44469</v>
      </c>
      <c r="E137" s="35">
        <v>0</v>
      </c>
      <c r="F137" s="35">
        <v>0</v>
      </c>
      <c r="G137" s="147">
        <v>0</v>
      </c>
      <c r="H137" s="35">
        <v>0</v>
      </c>
      <c r="I137" s="35">
        <v>0</v>
      </c>
      <c r="J137" s="35">
        <f t="shared" si="96"/>
        <v>0</v>
      </c>
      <c r="K137" s="35">
        <v>0</v>
      </c>
      <c r="L137" s="35">
        <v>121</v>
      </c>
      <c r="M137" s="35">
        <v>0</v>
      </c>
      <c r="N137" s="35">
        <v>0</v>
      </c>
      <c r="O137" s="35">
        <v>0</v>
      </c>
      <c r="P137" s="35">
        <v>0</v>
      </c>
      <c r="Q137" s="147">
        <f t="shared" si="97"/>
        <v>121</v>
      </c>
      <c r="R137" s="36" t="e">
        <f t="shared" si="98"/>
        <v>#DIV/0!</v>
      </c>
      <c r="S137" s="36" t="e">
        <f t="shared" si="99"/>
        <v>#DIV/0!</v>
      </c>
      <c r="T137" s="36" t="e">
        <f t="shared" si="100"/>
        <v>#DIV/0!</v>
      </c>
      <c r="U137" s="36" t="e">
        <f t="shared" si="101"/>
        <v>#DIV/0!</v>
      </c>
      <c r="V137" s="36" t="e">
        <f t="shared" si="102"/>
        <v>#DIV/0!</v>
      </c>
      <c r="W137" s="36" t="e">
        <f t="shared" si="103"/>
        <v>#DIV/0!</v>
      </c>
    </row>
    <row r="138" spans="1:23" x14ac:dyDescent="0.2">
      <c r="A138" s="369"/>
      <c r="B138" s="33" t="s">
        <v>113</v>
      </c>
      <c r="C138" s="70">
        <v>44470</v>
      </c>
      <c r="D138" s="34">
        <v>44500</v>
      </c>
      <c r="E138" s="35">
        <v>0</v>
      </c>
      <c r="F138" s="35">
        <v>0</v>
      </c>
      <c r="G138" s="147">
        <v>0</v>
      </c>
      <c r="H138" s="35">
        <v>0</v>
      </c>
      <c r="I138" s="35">
        <v>0</v>
      </c>
      <c r="J138" s="35">
        <f t="shared" si="96"/>
        <v>0</v>
      </c>
      <c r="K138" s="35">
        <v>0</v>
      </c>
      <c r="L138" s="35">
        <v>121</v>
      </c>
      <c r="M138" s="35">
        <v>0</v>
      </c>
      <c r="N138" s="35">
        <v>0</v>
      </c>
      <c r="O138" s="35">
        <v>0</v>
      </c>
      <c r="P138" s="35">
        <v>0</v>
      </c>
      <c r="Q138" s="147">
        <f t="shared" si="97"/>
        <v>121</v>
      </c>
      <c r="R138" s="36" t="e">
        <f t="shared" si="98"/>
        <v>#DIV/0!</v>
      </c>
      <c r="S138" s="36" t="e">
        <f t="shared" si="99"/>
        <v>#DIV/0!</v>
      </c>
      <c r="T138" s="36" t="e">
        <f t="shared" si="100"/>
        <v>#DIV/0!</v>
      </c>
      <c r="U138" s="36" t="e">
        <f t="shared" si="101"/>
        <v>#DIV/0!</v>
      </c>
      <c r="V138" s="36" t="e">
        <f t="shared" si="102"/>
        <v>#DIV/0!</v>
      </c>
      <c r="W138" s="36" t="e">
        <f t="shared" si="103"/>
        <v>#DIV/0!</v>
      </c>
    </row>
    <row r="139" spans="1:23" x14ac:dyDescent="0.2">
      <c r="A139" s="369"/>
      <c r="B139" s="33" t="s">
        <v>114</v>
      </c>
      <c r="C139" s="70">
        <v>44501</v>
      </c>
      <c r="D139" s="34">
        <v>44530</v>
      </c>
      <c r="E139" s="35">
        <v>0</v>
      </c>
      <c r="F139" s="35">
        <v>0</v>
      </c>
      <c r="G139" s="147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121</v>
      </c>
      <c r="M139" s="35">
        <v>0</v>
      </c>
      <c r="N139" s="35">
        <v>0</v>
      </c>
      <c r="O139" s="35">
        <v>0</v>
      </c>
      <c r="P139" s="35">
        <v>0</v>
      </c>
      <c r="Q139" s="147">
        <f t="shared" si="97"/>
        <v>121</v>
      </c>
      <c r="R139" s="36" t="e">
        <f t="shared" si="98"/>
        <v>#DIV/0!</v>
      </c>
      <c r="S139" s="36" t="e">
        <f t="shared" si="99"/>
        <v>#DIV/0!</v>
      </c>
      <c r="T139" s="36" t="e">
        <f t="shared" si="100"/>
        <v>#DIV/0!</v>
      </c>
      <c r="U139" s="36" t="e">
        <f t="shared" si="101"/>
        <v>#DIV/0!</v>
      </c>
      <c r="V139" s="36" t="e">
        <f t="shared" si="102"/>
        <v>#DIV/0!</v>
      </c>
      <c r="W139" s="36" t="e">
        <f t="shared" si="103"/>
        <v>#DIV/0!</v>
      </c>
    </row>
    <row r="140" spans="1:23" x14ac:dyDescent="0.2">
      <c r="A140" s="369"/>
      <c r="B140" s="33" t="s">
        <v>349</v>
      </c>
      <c r="C140" s="333">
        <v>44531</v>
      </c>
      <c r="D140" s="334">
        <v>44561</v>
      </c>
      <c r="E140" s="38">
        <v>0</v>
      </c>
      <c r="F140" s="38">
        <v>0</v>
      </c>
      <c r="G140" s="14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121</v>
      </c>
      <c r="M140" s="38">
        <v>0</v>
      </c>
      <c r="N140" s="38">
        <v>0</v>
      </c>
      <c r="O140" s="38">
        <v>0</v>
      </c>
      <c r="P140" s="38">
        <v>0</v>
      </c>
      <c r="Q140" s="148">
        <f t="shared" si="97"/>
        <v>121</v>
      </c>
      <c r="R140" s="39" t="e">
        <f t="shared" si="98"/>
        <v>#DIV/0!</v>
      </c>
      <c r="S140" s="39" t="e">
        <f t="shared" si="99"/>
        <v>#DIV/0!</v>
      </c>
      <c r="T140" s="39" t="e">
        <f t="shared" si="100"/>
        <v>#DIV/0!</v>
      </c>
      <c r="U140" s="39" t="e">
        <f t="shared" si="101"/>
        <v>#DIV/0!</v>
      </c>
      <c r="V140" s="39" t="e">
        <f t="shared" si="102"/>
        <v>#DIV/0!</v>
      </c>
      <c r="W140" s="39" t="e">
        <f t="shared" si="103"/>
        <v>#DIV/0!</v>
      </c>
    </row>
    <row r="141" spans="1:23" ht="15" thickBot="1" x14ac:dyDescent="0.25">
      <c r="A141" s="383"/>
      <c r="B141" s="71" t="s">
        <v>440</v>
      </c>
      <c r="C141" s="72">
        <v>44204</v>
      </c>
      <c r="D141" s="73">
        <v>44561</v>
      </c>
      <c r="E141" s="74">
        <v>0</v>
      </c>
      <c r="F141" s="74">
        <v>0</v>
      </c>
      <c r="G141" s="193">
        <v>8</v>
      </c>
      <c r="H141" s="74">
        <v>0</v>
      </c>
      <c r="I141" s="74">
        <v>0</v>
      </c>
      <c r="J141" s="74">
        <f t="shared" si="96"/>
        <v>0</v>
      </c>
      <c r="K141" s="74">
        <v>164</v>
      </c>
      <c r="L141" s="74">
        <v>128</v>
      </c>
      <c r="M141" s="74">
        <v>0</v>
      </c>
      <c r="N141" s="74">
        <v>11</v>
      </c>
      <c r="O141" s="74">
        <v>10</v>
      </c>
      <c r="P141" s="74">
        <v>0</v>
      </c>
      <c r="Q141" s="193">
        <f t="shared" si="97"/>
        <v>313</v>
      </c>
      <c r="R141" s="75">
        <f t="shared" si="98"/>
        <v>39.125</v>
      </c>
      <c r="S141" s="75">
        <f t="shared" si="99"/>
        <v>20.5</v>
      </c>
      <c r="T141" s="75">
        <f t="shared" si="100"/>
        <v>16</v>
      </c>
      <c r="U141" s="75">
        <f t="shared" si="101"/>
        <v>1.375</v>
      </c>
      <c r="V141" s="75">
        <f t="shared" si="102"/>
        <v>1.25</v>
      </c>
      <c r="W141" s="75">
        <f t="shared" si="103"/>
        <v>0</v>
      </c>
    </row>
    <row r="142" spans="1:23" ht="27" customHeight="1" thickTop="1" thickBot="1" x14ac:dyDescent="0.25">
      <c r="A142" s="361" t="s">
        <v>6</v>
      </c>
      <c r="B142" s="362"/>
      <c r="C142" s="362"/>
      <c r="D142" s="363"/>
      <c r="E142" s="40"/>
      <c r="F142" s="40"/>
      <c r="G142" s="40">
        <f>SUM(G129:G141)</f>
        <v>8</v>
      </c>
      <c r="H142" s="40">
        <f t="shared" ref="H142:Q142" si="104">SUM(H129:H141)</f>
        <v>0</v>
      </c>
      <c r="I142" s="40">
        <f t="shared" si="104"/>
        <v>0</v>
      </c>
      <c r="J142" s="40">
        <f t="shared" si="104"/>
        <v>0</v>
      </c>
      <c r="K142" s="40">
        <f t="shared" si="104"/>
        <v>164</v>
      </c>
      <c r="L142" s="40">
        <f t="shared" si="104"/>
        <v>1580</v>
      </c>
      <c r="M142" s="40">
        <f t="shared" si="104"/>
        <v>0</v>
      </c>
      <c r="N142" s="40">
        <f t="shared" si="104"/>
        <v>11</v>
      </c>
      <c r="O142" s="40">
        <f t="shared" si="104"/>
        <v>10</v>
      </c>
      <c r="P142" s="40">
        <f t="shared" si="104"/>
        <v>0</v>
      </c>
      <c r="Q142" s="40">
        <f t="shared" si="104"/>
        <v>1765</v>
      </c>
      <c r="R142" s="41">
        <f t="shared" si="98"/>
        <v>220.625</v>
      </c>
      <c r="S142" s="41">
        <f t="shared" si="99"/>
        <v>20.5</v>
      </c>
      <c r="T142" s="41">
        <f t="shared" si="100"/>
        <v>197.5</v>
      </c>
      <c r="U142" s="41">
        <f t="shared" si="101"/>
        <v>1.375</v>
      </c>
      <c r="V142" s="41">
        <f t="shared" si="102"/>
        <v>1.25</v>
      </c>
      <c r="W142" s="41">
        <f t="shared" si="103"/>
        <v>0</v>
      </c>
    </row>
    <row r="143" spans="1:23" ht="15.75" thickTop="1" x14ac:dyDescent="0.25">
      <c r="A143" s="47" t="s">
        <v>86</v>
      </c>
      <c r="B143" s="382" t="s">
        <v>130</v>
      </c>
      <c r="C143" s="382"/>
      <c r="D143" s="382"/>
      <c r="E143" s="382"/>
      <c r="F143" s="382"/>
      <c r="G143" s="381" t="s">
        <v>87</v>
      </c>
      <c r="H143" s="381"/>
      <c r="I143" s="380" t="s">
        <v>421</v>
      </c>
      <c r="J143" s="380"/>
      <c r="K143" s="62" t="s">
        <v>100</v>
      </c>
      <c r="L143" s="381" t="s">
        <v>121</v>
      </c>
      <c r="M143" s="381"/>
      <c r="N143" s="381"/>
      <c r="O143" s="381"/>
      <c r="P143" s="67"/>
      <c r="Q143" s="67" t="s">
        <v>92</v>
      </c>
      <c r="S143" s="380" t="s">
        <v>131</v>
      </c>
      <c r="T143" s="380"/>
    </row>
    <row r="144" spans="1:23" ht="15" thickBot="1" x14ac:dyDescent="0.25"/>
    <row r="145" spans="1:23" ht="52.5" customHeight="1" thickTop="1" thickBot="1" x14ac:dyDescent="0.25">
      <c r="A145" s="384" t="s">
        <v>64</v>
      </c>
      <c r="B145" s="364" t="s">
        <v>0</v>
      </c>
      <c r="C145" s="360" t="s">
        <v>5</v>
      </c>
      <c r="D145" s="360"/>
      <c r="E145" s="360" t="s">
        <v>29</v>
      </c>
      <c r="F145" s="360" t="s">
        <v>30</v>
      </c>
      <c r="G145" s="364" t="s">
        <v>7</v>
      </c>
      <c r="H145" s="357" t="s">
        <v>8</v>
      </c>
      <c r="I145" s="358"/>
      <c r="J145" s="359"/>
      <c r="K145" s="357" t="s">
        <v>11</v>
      </c>
      <c r="L145" s="358"/>
      <c r="M145" s="358"/>
      <c r="N145" s="358"/>
      <c r="O145" s="358"/>
      <c r="P145" s="358"/>
      <c r="Q145" s="359"/>
      <c r="R145" s="357" t="s">
        <v>31</v>
      </c>
      <c r="S145" s="358"/>
      <c r="T145" s="358"/>
      <c r="U145" s="358"/>
      <c r="V145" s="358"/>
      <c r="W145" s="359"/>
    </row>
    <row r="146" spans="1:23" ht="111.75" customHeight="1" thickTop="1" thickBot="1" x14ac:dyDescent="0.25">
      <c r="A146" s="385"/>
      <c r="B146" s="365"/>
      <c r="C146" s="60" t="s">
        <v>3</v>
      </c>
      <c r="D146" s="60" t="s">
        <v>4</v>
      </c>
      <c r="E146" s="360"/>
      <c r="F146" s="360"/>
      <c r="G146" s="365"/>
      <c r="H146" s="60" t="s">
        <v>17</v>
      </c>
      <c r="I146" s="60" t="s">
        <v>68</v>
      </c>
      <c r="J146" s="60" t="s">
        <v>6</v>
      </c>
      <c r="K146" s="60" t="s">
        <v>9</v>
      </c>
      <c r="L146" s="60" t="s">
        <v>10</v>
      </c>
      <c r="M146" s="60" t="s">
        <v>12</v>
      </c>
      <c r="N146" s="60" t="s">
        <v>24</v>
      </c>
      <c r="O146" s="60" t="s">
        <v>25</v>
      </c>
      <c r="P146" s="60" t="s">
        <v>436</v>
      </c>
      <c r="Q146" s="60" t="s">
        <v>23</v>
      </c>
      <c r="R146" s="61" t="s">
        <v>6</v>
      </c>
      <c r="S146" s="61" t="s">
        <v>22</v>
      </c>
      <c r="T146" s="61" t="s">
        <v>20</v>
      </c>
      <c r="U146" s="61" t="s">
        <v>32</v>
      </c>
      <c r="V146" s="61" t="s">
        <v>33</v>
      </c>
      <c r="W146" s="294" t="s">
        <v>386</v>
      </c>
    </row>
    <row r="147" spans="1:23" ht="15" thickTop="1" x14ac:dyDescent="0.2">
      <c r="A147" s="369"/>
      <c r="B147" s="33" t="s">
        <v>104</v>
      </c>
      <c r="C147" s="70">
        <v>44197</v>
      </c>
      <c r="D147" s="34">
        <v>44227</v>
      </c>
      <c r="E147" s="35">
        <v>0</v>
      </c>
      <c r="F147" s="35">
        <v>0</v>
      </c>
      <c r="G147" s="147">
        <f>108-24</f>
        <v>84</v>
      </c>
      <c r="H147" s="35">
        <v>0</v>
      </c>
      <c r="I147" s="35">
        <v>0</v>
      </c>
      <c r="J147" s="35">
        <f t="shared" ref="J147:J159" si="105">+I147+H147</f>
        <v>0</v>
      </c>
      <c r="K147" s="35">
        <f>2225-24*20.6</f>
        <v>1730.6</v>
      </c>
      <c r="L147" s="35">
        <f>1716+121-15.9*24</f>
        <v>1455.4</v>
      </c>
      <c r="M147" s="35">
        <v>0</v>
      </c>
      <c r="N147" s="35">
        <f>87+9-24*0.89</f>
        <v>74.64</v>
      </c>
      <c r="O147" s="35">
        <f>160-36</f>
        <v>124</v>
      </c>
      <c r="P147" s="35">
        <f>34-24*0.3105</f>
        <v>26.548000000000002</v>
      </c>
      <c r="Q147" s="147">
        <f t="shared" ref="Q147:Q159" si="106">+P147+O147+N147+M147+L147+K147</f>
        <v>3411.1880000000001</v>
      </c>
      <c r="R147" s="36">
        <f t="shared" ref="R147:R160" si="107">+Q147/G147</f>
        <v>40.609380952380953</v>
      </c>
      <c r="S147" s="36">
        <f t="shared" ref="S147:S160" si="108">+K147/G147</f>
        <v>20.602380952380951</v>
      </c>
      <c r="T147" s="36">
        <f t="shared" ref="T147:T160" si="109">+L147/G147</f>
        <v>17.326190476190476</v>
      </c>
      <c r="U147" s="36">
        <f t="shared" ref="U147:U160" si="110">+N147/G147</f>
        <v>0.88857142857142857</v>
      </c>
      <c r="V147" s="36">
        <f t="shared" ref="V147:V160" si="111">+O147/G147</f>
        <v>1.4761904761904763</v>
      </c>
      <c r="W147" s="36">
        <f t="shared" ref="W147:W160" si="112">+P147/G147</f>
        <v>0.31604761904761908</v>
      </c>
    </row>
    <row r="148" spans="1:23" x14ac:dyDescent="0.2">
      <c r="A148" s="369"/>
      <c r="B148" s="33" t="s">
        <v>105</v>
      </c>
      <c r="C148" s="70">
        <v>44228</v>
      </c>
      <c r="D148" s="34">
        <v>44255</v>
      </c>
      <c r="E148" s="35">
        <v>0</v>
      </c>
      <c r="F148" s="35">
        <v>0</v>
      </c>
      <c r="G148" s="147">
        <v>108</v>
      </c>
      <c r="H148" s="35">
        <v>0</v>
      </c>
      <c r="I148" s="35">
        <v>0</v>
      </c>
      <c r="J148" s="35">
        <f t="shared" si="105"/>
        <v>0</v>
      </c>
      <c r="K148" s="35">
        <v>2225</v>
      </c>
      <c r="L148" s="35">
        <f>1716+121</f>
        <v>1837</v>
      </c>
      <c r="M148" s="35">
        <v>0</v>
      </c>
      <c r="N148" s="35">
        <v>96</v>
      </c>
      <c r="O148" s="35">
        <v>253</v>
      </c>
      <c r="P148" s="35">
        <v>34</v>
      </c>
      <c r="Q148" s="147">
        <f t="shared" si="106"/>
        <v>4445</v>
      </c>
      <c r="R148" s="36">
        <f t="shared" si="107"/>
        <v>41.157407407407405</v>
      </c>
      <c r="S148" s="36">
        <f t="shared" si="108"/>
        <v>20.601851851851851</v>
      </c>
      <c r="T148" s="36">
        <f t="shared" si="109"/>
        <v>17.00925925925926</v>
      </c>
      <c r="U148" s="36">
        <f t="shared" si="110"/>
        <v>0.88888888888888884</v>
      </c>
      <c r="V148" s="36">
        <f t="shared" si="111"/>
        <v>2.3425925925925926</v>
      </c>
      <c r="W148" s="36">
        <f t="shared" si="112"/>
        <v>0.31481481481481483</v>
      </c>
    </row>
    <row r="149" spans="1:23" x14ac:dyDescent="0.2">
      <c r="A149" s="369"/>
      <c r="B149" s="33" t="s">
        <v>106</v>
      </c>
      <c r="C149" s="70">
        <v>44256</v>
      </c>
      <c r="D149" s="34">
        <v>44286</v>
      </c>
      <c r="E149" s="35">
        <v>0</v>
      </c>
      <c r="F149" s="35">
        <v>0</v>
      </c>
      <c r="G149" s="147">
        <v>108</v>
      </c>
      <c r="H149" s="35">
        <v>0</v>
      </c>
      <c r="I149" s="35">
        <v>0</v>
      </c>
      <c r="J149" s="35">
        <f t="shared" si="105"/>
        <v>0</v>
      </c>
      <c r="K149" s="35">
        <v>2225</v>
      </c>
      <c r="L149" s="35">
        <f>1716+121</f>
        <v>1837</v>
      </c>
      <c r="M149" s="35">
        <v>0</v>
      </c>
      <c r="N149" s="35">
        <v>96</v>
      </c>
      <c r="O149" s="35">
        <v>328</v>
      </c>
      <c r="P149" s="35">
        <v>34</v>
      </c>
      <c r="Q149" s="147">
        <f t="shared" si="106"/>
        <v>4520</v>
      </c>
      <c r="R149" s="36">
        <f t="shared" si="107"/>
        <v>41.851851851851855</v>
      </c>
      <c r="S149" s="36">
        <f t="shared" si="108"/>
        <v>20.601851851851851</v>
      </c>
      <c r="T149" s="36">
        <f t="shared" si="109"/>
        <v>17.00925925925926</v>
      </c>
      <c r="U149" s="36">
        <f t="shared" si="110"/>
        <v>0.88888888888888884</v>
      </c>
      <c r="V149" s="36">
        <f t="shared" si="111"/>
        <v>3.0370370370370372</v>
      </c>
      <c r="W149" s="36">
        <f t="shared" si="112"/>
        <v>0.31481481481481483</v>
      </c>
    </row>
    <row r="150" spans="1:23" x14ac:dyDescent="0.2">
      <c r="A150" s="369"/>
      <c r="B150" s="33" t="s">
        <v>107</v>
      </c>
      <c r="C150" s="70">
        <v>44287</v>
      </c>
      <c r="D150" s="34">
        <v>44316</v>
      </c>
      <c r="E150" s="35">
        <v>0</v>
      </c>
      <c r="F150" s="35">
        <v>0</v>
      </c>
      <c r="G150" s="147">
        <v>108</v>
      </c>
      <c r="H150" s="35">
        <v>0</v>
      </c>
      <c r="I150" s="35">
        <v>0</v>
      </c>
      <c r="J150" s="35">
        <f t="shared" si="105"/>
        <v>0</v>
      </c>
      <c r="K150" s="35">
        <v>2225</v>
      </c>
      <c r="L150" s="35">
        <f>1770+121</f>
        <v>1891</v>
      </c>
      <c r="M150" s="35">
        <v>0</v>
      </c>
      <c r="N150" s="35">
        <f>87+9</f>
        <v>96</v>
      </c>
      <c r="O150" s="35">
        <v>299</v>
      </c>
      <c r="P150" s="35">
        <v>34</v>
      </c>
      <c r="Q150" s="147">
        <f t="shared" si="106"/>
        <v>4545</v>
      </c>
      <c r="R150" s="36">
        <f t="shared" si="107"/>
        <v>42.083333333333336</v>
      </c>
      <c r="S150" s="36">
        <f t="shared" si="108"/>
        <v>20.601851851851851</v>
      </c>
      <c r="T150" s="36">
        <f t="shared" si="109"/>
        <v>17.50925925925926</v>
      </c>
      <c r="U150" s="36">
        <f t="shared" si="110"/>
        <v>0.88888888888888884</v>
      </c>
      <c r="V150" s="36">
        <f t="shared" si="111"/>
        <v>2.7685185185185186</v>
      </c>
      <c r="W150" s="36">
        <f t="shared" si="112"/>
        <v>0.31481481481481483</v>
      </c>
    </row>
    <row r="151" spans="1:23" x14ac:dyDescent="0.2">
      <c r="A151" s="369"/>
      <c r="B151" s="33" t="s">
        <v>108</v>
      </c>
      <c r="C151" s="70">
        <v>44317</v>
      </c>
      <c r="D151" s="34">
        <v>44347</v>
      </c>
      <c r="E151" s="35">
        <v>0</v>
      </c>
      <c r="F151" s="35">
        <v>0</v>
      </c>
      <c r="G151" s="147">
        <v>108</v>
      </c>
      <c r="H151" s="35">
        <v>0</v>
      </c>
      <c r="I151" s="35">
        <v>0</v>
      </c>
      <c r="J151" s="35">
        <f t="shared" si="105"/>
        <v>0</v>
      </c>
      <c r="K151" s="35">
        <v>2225</v>
      </c>
      <c r="L151" s="35">
        <f>1770+121</f>
        <v>1891</v>
      </c>
      <c r="M151" s="35">
        <v>0</v>
      </c>
      <c r="N151" s="35">
        <f>87+9</f>
        <v>96</v>
      </c>
      <c r="O151" s="35">
        <v>349</v>
      </c>
      <c r="P151" s="35">
        <v>34</v>
      </c>
      <c r="Q151" s="147">
        <f t="shared" si="106"/>
        <v>4595</v>
      </c>
      <c r="R151" s="36">
        <f t="shared" si="107"/>
        <v>42.546296296296298</v>
      </c>
      <c r="S151" s="36">
        <f t="shared" si="108"/>
        <v>20.601851851851851</v>
      </c>
      <c r="T151" s="36">
        <f t="shared" si="109"/>
        <v>17.50925925925926</v>
      </c>
      <c r="U151" s="36">
        <f t="shared" si="110"/>
        <v>0.88888888888888884</v>
      </c>
      <c r="V151" s="36">
        <f t="shared" si="111"/>
        <v>3.2314814814814814</v>
      </c>
      <c r="W151" s="36">
        <f t="shared" si="112"/>
        <v>0.31481481481481483</v>
      </c>
    </row>
    <row r="152" spans="1:23" x14ac:dyDescent="0.2">
      <c r="A152" s="369"/>
      <c r="B152" s="33" t="s">
        <v>109</v>
      </c>
      <c r="C152" s="70">
        <v>44348</v>
      </c>
      <c r="D152" s="34">
        <v>44377</v>
      </c>
      <c r="E152" s="35">
        <v>0</v>
      </c>
      <c r="F152" s="35">
        <v>0</v>
      </c>
      <c r="G152" s="147">
        <v>108</v>
      </c>
      <c r="H152" s="35">
        <v>0</v>
      </c>
      <c r="I152" s="35">
        <v>0</v>
      </c>
      <c r="J152" s="35">
        <f t="shared" si="105"/>
        <v>0</v>
      </c>
      <c r="K152" s="35">
        <v>2225</v>
      </c>
      <c r="L152" s="35">
        <f>1770+121</f>
        <v>1891</v>
      </c>
      <c r="M152" s="35">
        <v>0</v>
      </c>
      <c r="N152" s="35">
        <f>87+9</f>
        <v>96</v>
      </c>
      <c r="O152" s="35">
        <v>184</v>
      </c>
      <c r="P152" s="35">
        <v>34</v>
      </c>
      <c r="Q152" s="147">
        <f t="shared" si="106"/>
        <v>4430</v>
      </c>
      <c r="R152" s="36">
        <f t="shared" si="107"/>
        <v>41.018518518518519</v>
      </c>
      <c r="S152" s="36">
        <f t="shared" si="108"/>
        <v>20.601851851851851</v>
      </c>
      <c r="T152" s="36">
        <f t="shared" si="109"/>
        <v>17.50925925925926</v>
      </c>
      <c r="U152" s="36">
        <f t="shared" si="110"/>
        <v>0.88888888888888884</v>
      </c>
      <c r="V152" s="36">
        <f t="shared" si="111"/>
        <v>1.7037037037037037</v>
      </c>
      <c r="W152" s="36">
        <f t="shared" si="112"/>
        <v>0.31481481481481483</v>
      </c>
    </row>
    <row r="153" spans="1:23" x14ac:dyDescent="0.2">
      <c r="A153" s="369"/>
      <c r="B153" s="33" t="s">
        <v>110</v>
      </c>
      <c r="C153" s="70">
        <v>44378</v>
      </c>
      <c r="D153" s="34">
        <v>44408</v>
      </c>
      <c r="E153" s="35">
        <v>0</v>
      </c>
      <c r="F153" s="35">
        <v>0</v>
      </c>
      <c r="G153" s="147">
        <v>108</v>
      </c>
      <c r="H153" s="35">
        <v>0</v>
      </c>
      <c r="I153" s="35">
        <v>0</v>
      </c>
      <c r="J153" s="35">
        <f t="shared" si="105"/>
        <v>0</v>
      </c>
      <c r="K153" s="35">
        <v>2225</v>
      </c>
      <c r="L153" s="35">
        <v>1891</v>
      </c>
      <c r="M153" s="35">
        <v>0</v>
      </c>
      <c r="N153" s="35">
        <f>157+9</f>
        <v>166</v>
      </c>
      <c r="O153" s="35">
        <v>22</v>
      </c>
      <c r="P153" s="35">
        <v>34</v>
      </c>
      <c r="Q153" s="147">
        <f t="shared" si="106"/>
        <v>4338</v>
      </c>
      <c r="R153" s="36">
        <f t="shared" si="107"/>
        <v>40.166666666666664</v>
      </c>
      <c r="S153" s="36">
        <f t="shared" si="108"/>
        <v>20.601851851851851</v>
      </c>
      <c r="T153" s="36">
        <f t="shared" si="109"/>
        <v>17.50925925925926</v>
      </c>
      <c r="U153" s="36">
        <f t="shared" si="110"/>
        <v>1.537037037037037</v>
      </c>
      <c r="V153" s="36">
        <f t="shared" si="111"/>
        <v>0.20370370370370369</v>
      </c>
      <c r="W153" s="36">
        <f t="shared" si="112"/>
        <v>0.31481481481481483</v>
      </c>
    </row>
    <row r="154" spans="1:23" x14ac:dyDescent="0.2">
      <c r="A154" s="369"/>
      <c r="B154" s="33" t="s">
        <v>111</v>
      </c>
      <c r="C154" s="70">
        <v>44409</v>
      </c>
      <c r="D154" s="34">
        <v>44439</v>
      </c>
      <c r="E154" s="35">
        <v>0</v>
      </c>
      <c r="F154" s="35">
        <v>0</v>
      </c>
      <c r="G154" s="147">
        <v>108</v>
      </c>
      <c r="H154" s="35">
        <v>0</v>
      </c>
      <c r="I154" s="35">
        <v>0</v>
      </c>
      <c r="J154" s="35">
        <f t="shared" si="105"/>
        <v>0</v>
      </c>
      <c r="K154" s="35">
        <v>2225</v>
      </c>
      <c r="L154" s="35">
        <v>1891</v>
      </c>
      <c r="M154" s="35">
        <v>0</v>
      </c>
      <c r="N154" s="35">
        <v>166</v>
      </c>
      <c r="O154" s="35">
        <v>0</v>
      </c>
      <c r="P154" s="35">
        <v>34</v>
      </c>
      <c r="Q154" s="147">
        <f t="shared" si="106"/>
        <v>4316</v>
      </c>
      <c r="R154" s="36">
        <f t="shared" si="107"/>
        <v>39.962962962962962</v>
      </c>
      <c r="S154" s="36">
        <f t="shared" si="108"/>
        <v>20.601851851851851</v>
      </c>
      <c r="T154" s="36">
        <f t="shared" si="109"/>
        <v>17.50925925925926</v>
      </c>
      <c r="U154" s="36">
        <f t="shared" si="110"/>
        <v>1.537037037037037</v>
      </c>
      <c r="V154" s="36">
        <f t="shared" si="111"/>
        <v>0</v>
      </c>
      <c r="W154" s="36">
        <f t="shared" si="112"/>
        <v>0.31481481481481483</v>
      </c>
    </row>
    <row r="155" spans="1:23" x14ac:dyDescent="0.2">
      <c r="A155" s="369"/>
      <c r="B155" s="33" t="s">
        <v>112</v>
      </c>
      <c r="C155" s="70">
        <v>44440</v>
      </c>
      <c r="D155" s="34">
        <v>44469</v>
      </c>
      <c r="E155" s="35">
        <v>0</v>
      </c>
      <c r="F155" s="35">
        <v>0</v>
      </c>
      <c r="G155" s="147">
        <v>108</v>
      </c>
      <c r="H155" s="35">
        <v>0</v>
      </c>
      <c r="I155" s="35">
        <v>0</v>
      </c>
      <c r="J155" s="35">
        <f t="shared" si="105"/>
        <v>0</v>
      </c>
      <c r="K155" s="35">
        <v>2225</v>
      </c>
      <c r="L155" s="35">
        <v>1891</v>
      </c>
      <c r="M155" s="35">
        <v>0</v>
      </c>
      <c r="N155" s="35">
        <v>166</v>
      </c>
      <c r="O155" s="35">
        <v>0</v>
      </c>
      <c r="P155" s="35">
        <v>34</v>
      </c>
      <c r="Q155" s="147">
        <f t="shared" si="106"/>
        <v>4316</v>
      </c>
      <c r="R155" s="36">
        <f t="shared" si="107"/>
        <v>39.962962962962962</v>
      </c>
      <c r="S155" s="36">
        <f t="shared" si="108"/>
        <v>20.601851851851851</v>
      </c>
      <c r="T155" s="36">
        <f t="shared" si="109"/>
        <v>17.50925925925926</v>
      </c>
      <c r="U155" s="36">
        <f t="shared" si="110"/>
        <v>1.537037037037037</v>
      </c>
      <c r="V155" s="36">
        <f t="shared" si="111"/>
        <v>0</v>
      </c>
      <c r="W155" s="36">
        <f t="shared" si="112"/>
        <v>0.31481481481481483</v>
      </c>
    </row>
    <row r="156" spans="1:23" x14ac:dyDescent="0.2">
      <c r="A156" s="369"/>
      <c r="B156" s="33" t="s">
        <v>113</v>
      </c>
      <c r="C156" s="70">
        <v>44470</v>
      </c>
      <c r="D156" s="34">
        <v>44500</v>
      </c>
      <c r="E156" s="35">
        <v>0</v>
      </c>
      <c r="F156" s="35">
        <v>0</v>
      </c>
      <c r="G156" s="147">
        <v>108</v>
      </c>
      <c r="H156" s="35">
        <v>0</v>
      </c>
      <c r="I156" s="35">
        <v>0</v>
      </c>
      <c r="J156" s="35">
        <f t="shared" si="105"/>
        <v>0</v>
      </c>
      <c r="K156" s="35">
        <v>2225</v>
      </c>
      <c r="L156" s="35">
        <v>1891</v>
      </c>
      <c r="M156" s="35">
        <v>0</v>
      </c>
      <c r="N156" s="35">
        <v>166</v>
      </c>
      <c r="O156" s="35">
        <v>0</v>
      </c>
      <c r="P156" s="35">
        <f>34+29</f>
        <v>63</v>
      </c>
      <c r="Q156" s="147">
        <f t="shared" si="106"/>
        <v>4345</v>
      </c>
      <c r="R156" s="36">
        <f t="shared" si="107"/>
        <v>40.231481481481481</v>
      </c>
      <c r="S156" s="36">
        <f t="shared" si="108"/>
        <v>20.601851851851851</v>
      </c>
      <c r="T156" s="36">
        <f t="shared" si="109"/>
        <v>17.50925925925926</v>
      </c>
      <c r="U156" s="36">
        <f t="shared" si="110"/>
        <v>1.537037037037037</v>
      </c>
      <c r="V156" s="36">
        <f t="shared" si="111"/>
        <v>0</v>
      </c>
      <c r="W156" s="36">
        <f t="shared" si="112"/>
        <v>0.58333333333333337</v>
      </c>
    </row>
    <row r="157" spans="1:23" x14ac:dyDescent="0.2">
      <c r="A157" s="369"/>
      <c r="B157" s="33" t="s">
        <v>114</v>
      </c>
      <c r="C157" s="70">
        <v>44501</v>
      </c>
      <c r="D157" s="34">
        <v>44530</v>
      </c>
      <c r="E157" s="35">
        <v>0</v>
      </c>
      <c r="F157" s="35">
        <v>0</v>
      </c>
      <c r="G157" s="147">
        <v>108</v>
      </c>
      <c r="H157" s="35">
        <v>0</v>
      </c>
      <c r="I157" s="35">
        <v>0</v>
      </c>
      <c r="J157" s="35">
        <f t="shared" si="105"/>
        <v>0</v>
      </c>
      <c r="K157" s="35">
        <v>2225</v>
      </c>
      <c r="L157" s="35">
        <v>1891</v>
      </c>
      <c r="M157" s="35">
        <v>0</v>
      </c>
      <c r="N157" s="35">
        <v>166</v>
      </c>
      <c r="O157" s="35">
        <v>0</v>
      </c>
      <c r="P157" s="35">
        <f>34+29</f>
        <v>63</v>
      </c>
      <c r="Q157" s="147">
        <f t="shared" ref="Q157:Q158" si="113">+P157+O157+N157+M157+L157+K157</f>
        <v>4345</v>
      </c>
      <c r="R157" s="36">
        <f t="shared" ref="R157:R158" si="114">+Q157/G157</f>
        <v>40.231481481481481</v>
      </c>
      <c r="S157" s="36">
        <f t="shared" ref="S157:S158" si="115">+K157/G157</f>
        <v>20.601851851851851</v>
      </c>
      <c r="T157" s="36">
        <f t="shared" ref="T157:T158" si="116">+L157/G157</f>
        <v>17.50925925925926</v>
      </c>
      <c r="U157" s="36">
        <f t="shared" ref="U157:U158" si="117">+N157/G157</f>
        <v>1.537037037037037</v>
      </c>
      <c r="V157" s="36">
        <f t="shared" ref="V157:V158" si="118">+O157/G157</f>
        <v>0</v>
      </c>
      <c r="W157" s="36">
        <f t="shared" ref="W157:W158" si="119">+P157/G157</f>
        <v>0.58333333333333337</v>
      </c>
    </row>
    <row r="158" spans="1:23" x14ac:dyDescent="0.2">
      <c r="A158" s="369"/>
      <c r="B158" s="33" t="s">
        <v>349</v>
      </c>
      <c r="C158" s="70">
        <v>44531</v>
      </c>
      <c r="D158" s="34">
        <v>44561</v>
      </c>
      <c r="E158" s="35">
        <v>0</v>
      </c>
      <c r="F158" s="35">
        <v>0</v>
      </c>
      <c r="G158" s="147">
        <v>108</v>
      </c>
      <c r="H158" s="35">
        <v>0</v>
      </c>
      <c r="I158" s="35">
        <v>0</v>
      </c>
      <c r="J158" s="35">
        <f t="shared" si="105"/>
        <v>0</v>
      </c>
      <c r="K158" s="35">
        <v>2225</v>
      </c>
      <c r="L158" s="35">
        <v>1891</v>
      </c>
      <c r="M158" s="35">
        <v>0</v>
      </c>
      <c r="N158" s="35">
        <v>166</v>
      </c>
      <c r="O158" s="35">
        <v>0</v>
      </c>
      <c r="P158" s="35">
        <f>34+29</f>
        <v>63</v>
      </c>
      <c r="Q158" s="147">
        <f t="shared" si="113"/>
        <v>4345</v>
      </c>
      <c r="R158" s="36">
        <f t="shared" si="114"/>
        <v>40.231481481481481</v>
      </c>
      <c r="S158" s="36">
        <f t="shared" si="115"/>
        <v>20.601851851851851</v>
      </c>
      <c r="T158" s="36">
        <f t="shared" si="116"/>
        <v>17.50925925925926</v>
      </c>
      <c r="U158" s="36">
        <f t="shared" si="117"/>
        <v>1.537037037037037</v>
      </c>
      <c r="V158" s="36">
        <f t="shared" si="118"/>
        <v>0</v>
      </c>
      <c r="W158" s="36">
        <f t="shared" si="119"/>
        <v>0.58333333333333337</v>
      </c>
    </row>
    <row r="159" spans="1:23" ht="15" thickBot="1" x14ac:dyDescent="0.25">
      <c r="A159" s="369"/>
      <c r="B159" s="325" t="s">
        <v>440</v>
      </c>
      <c r="C159" s="326">
        <v>44204</v>
      </c>
      <c r="D159" s="327">
        <v>44561</v>
      </c>
      <c r="E159" s="194">
        <v>0</v>
      </c>
      <c r="F159" s="194">
        <v>0</v>
      </c>
      <c r="G159" s="194">
        <v>3926</v>
      </c>
      <c r="H159" s="194">
        <v>0</v>
      </c>
      <c r="I159" s="194">
        <v>0</v>
      </c>
      <c r="J159" s="194">
        <f t="shared" si="105"/>
        <v>0</v>
      </c>
      <c r="K159" s="194">
        <v>80880</v>
      </c>
      <c r="L159" s="194">
        <v>63897</v>
      </c>
      <c r="M159" s="194">
        <v>0</v>
      </c>
      <c r="N159" s="194">
        <f>1544+2934+311</f>
        <v>4789</v>
      </c>
      <c r="O159" s="194">
        <f>9556-4789</f>
        <v>4767</v>
      </c>
      <c r="P159" s="194">
        <f>1214+275</f>
        <v>1489</v>
      </c>
      <c r="Q159" s="194">
        <f t="shared" si="106"/>
        <v>155822</v>
      </c>
      <c r="R159" s="328">
        <f t="shared" si="107"/>
        <v>39.689760570555272</v>
      </c>
      <c r="S159" s="328">
        <f t="shared" si="108"/>
        <v>20.601120733571065</v>
      </c>
      <c r="T159" s="328">
        <f t="shared" si="109"/>
        <v>16.275343861436578</v>
      </c>
      <c r="U159" s="328">
        <f t="shared" si="110"/>
        <v>1.2198166072338257</v>
      </c>
      <c r="V159" s="328">
        <f t="shared" si="111"/>
        <v>1.2142129393785024</v>
      </c>
      <c r="W159" s="328">
        <f t="shared" si="112"/>
        <v>0.3792664289353031</v>
      </c>
    </row>
    <row r="160" spans="1:23" ht="27" customHeight="1" thickTop="1" thickBot="1" x14ac:dyDescent="0.25">
      <c r="A160" s="361" t="s">
        <v>6</v>
      </c>
      <c r="B160" s="362"/>
      <c r="C160" s="362"/>
      <c r="D160" s="363"/>
      <c r="E160" s="40"/>
      <c r="F160" s="40"/>
      <c r="G160" s="40">
        <f>SUM(G147:G159)</f>
        <v>5198</v>
      </c>
      <c r="H160" s="40">
        <f t="shared" ref="H160:Q160" si="120">SUM(H147:H159)</f>
        <v>0</v>
      </c>
      <c r="I160" s="40">
        <f t="shared" si="120"/>
        <v>0</v>
      </c>
      <c r="J160" s="40">
        <f t="shared" si="120"/>
        <v>0</v>
      </c>
      <c r="K160" s="40">
        <f t="shared" si="120"/>
        <v>107085.6</v>
      </c>
      <c r="L160" s="40">
        <f t="shared" si="120"/>
        <v>86045.4</v>
      </c>
      <c r="M160" s="40">
        <f t="shared" si="120"/>
        <v>0</v>
      </c>
      <c r="N160" s="40">
        <f t="shared" si="120"/>
        <v>6339.6399999999994</v>
      </c>
      <c r="O160" s="40">
        <f t="shared" si="120"/>
        <v>6326</v>
      </c>
      <c r="P160" s="40">
        <f t="shared" si="120"/>
        <v>1976.548</v>
      </c>
      <c r="Q160" s="40">
        <f t="shared" si="120"/>
        <v>207773.18799999999</v>
      </c>
      <c r="R160" s="41">
        <f t="shared" si="107"/>
        <v>39.971756060023083</v>
      </c>
      <c r="S160" s="41">
        <f t="shared" si="108"/>
        <v>20.601308195459794</v>
      </c>
      <c r="T160" s="41">
        <f t="shared" si="109"/>
        <v>16.553559061177374</v>
      </c>
      <c r="U160" s="41">
        <f t="shared" si="110"/>
        <v>1.2196306271642938</v>
      </c>
      <c r="V160" s="41">
        <f t="shared" si="111"/>
        <v>1.217006540977299</v>
      </c>
      <c r="W160" s="41">
        <f t="shared" si="112"/>
        <v>0.38025163524432476</v>
      </c>
    </row>
    <row r="161" spans="1:23" ht="15.75" thickTop="1" x14ac:dyDescent="0.25">
      <c r="A161" s="47" t="s">
        <v>86</v>
      </c>
      <c r="B161" s="382" t="s">
        <v>132</v>
      </c>
      <c r="C161" s="382"/>
      <c r="D161" s="382"/>
      <c r="E161" s="382"/>
      <c r="F161" s="382"/>
      <c r="G161" s="381" t="s">
        <v>87</v>
      </c>
      <c r="H161" s="381"/>
      <c r="I161" s="380" t="s">
        <v>422</v>
      </c>
      <c r="J161" s="380"/>
      <c r="K161" s="62" t="s">
        <v>100</v>
      </c>
      <c r="L161" s="381" t="s">
        <v>121</v>
      </c>
      <c r="M161" s="381"/>
      <c r="N161" s="381"/>
      <c r="O161" s="381"/>
      <c r="P161" s="67"/>
      <c r="Q161" s="67" t="s">
        <v>92</v>
      </c>
      <c r="S161" s="380" t="s">
        <v>133</v>
      </c>
      <c r="T161" s="380"/>
    </row>
    <row r="162" spans="1:23" ht="15" thickBot="1" x14ac:dyDescent="0.25"/>
    <row r="163" spans="1:23" ht="52.5" customHeight="1" thickTop="1" thickBot="1" x14ac:dyDescent="0.25">
      <c r="A163" s="384" t="s">
        <v>64</v>
      </c>
      <c r="B163" s="364" t="s">
        <v>0</v>
      </c>
      <c r="C163" s="360" t="s">
        <v>5</v>
      </c>
      <c r="D163" s="360"/>
      <c r="E163" s="360" t="s">
        <v>29</v>
      </c>
      <c r="F163" s="360" t="s">
        <v>30</v>
      </c>
      <c r="G163" s="364" t="s">
        <v>7</v>
      </c>
      <c r="H163" s="357" t="s">
        <v>8</v>
      </c>
      <c r="I163" s="358"/>
      <c r="J163" s="359"/>
      <c r="K163" s="357" t="s">
        <v>11</v>
      </c>
      <c r="L163" s="358"/>
      <c r="M163" s="358"/>
      <c r="N163" s="358"/>
      <c r="O163" s="358"/>
      <c r="P163" s="358"/>
      <c r="Q163" s="359"/>
      <c r="R163" s="357" t="s">
        <v>31</v>
      </c>
      <c r="S163" s="358"/>
      <c r="T163" s="358"/>
      <c r="U163" s="358"/>
      <c r="V163" s="358"/>
      <c r="W163" s="359"/>
    </row>
    <row r="164" spans="1:23" ht="111.75" customHeight="1" thickTop="1" thickBot="1" x14ac:dyDescent="0.25">
      <c r="A164" s="385"/>
      <c r="B164" s="365"/>
      <c r="C164" s="60" t="s">
        <v>3</v>
      </c>
      <c r="D164" s="60" t="s">
        <v>4</v>
      </c>
      <c r="E164" s="360"/>
      <c r="F164" s="360"/>
      <c r="G164" s="365"/>
      <c r="H164" s="60" t="s">
        <v>17</v>
      </c>
      <c r="I164" s="60" t="s">
        <v>68</v>
      </c>
      <c r="J164" s="60" t="s">
        <v>6</v>
      </c>
      <c r="K164" s="60" t="s">
        <v>9</v>
      </c>
      <c r="L164" s="60" t="s">
        <v>10</v>
      </c>
      <c r="M164" s="60" t="s">
        <v>12</v>
      </c>
      <c r="N164" s="60" t="s">
        <v>24</v>
      </c>
      <c r="O164" s="60" t="s">
        <v>25</v>
      </c>
      <c r="P164" s="60" t="s">
        <v>436</v>
      </c>
      <c r="Q164" s="60" t="s">
        <v>23</v>
      </c>
      <c r="R164" s="61" t="s">
        <v>6</v>
      </c>
      <c r="S164" s="61" t="s">
        <v>22</v>
      </c>
      <c r="T164" s="61" t="s">
        <v>20</v>
      </c>
      <c r="U164" s="61" t="s">
        <v>32</v>
      </c>
      <c r="V164" s="61" t="s">
        <v>33</v>
      </c>
      <c r="W164" s="294" t="s">
        <v>386</v>
      </c>
    </row>
    <row r="165" spans="1:23" ht="15" customHeight="1" thickTop="1" x14ac:dyDescent="0.2">
      <c r="A165" s="368" t="s">
        <v>134</v>
      </c>
      <c r="B165" s="29" t="s">
        <v>104</v>
      </c>
      <c r="C165" s="295">
        <v>44197</v>
      </c>
      <c r="D165" s="176">
        <v>44227</v>
      </c>
      <c r="E165" s="143">
        <v>0</v>
      </c>
      <c r="F165" s="143">
        <v>0</v>
      </c>
      <c r="G165" s="146">
        <f>1000-1000</f>
        <v>0</v>
      </c>
      <c r="H165" s="31">
        <v>0</v>
      </c>
      <c r="I165" s="31">
        <v>0</v>
      </c>
      <c r="J165" s="31">
        <f>+I165+H165</f>
        <v>0</v>
      </c>
      <c r="K165" s="31">
        <f>20600-20600</f>
        <v>0</v>
      </c>
      <c r="L165" s="31">
        <f>15900+121-15900</f>
        <v>121</v>
      </c>
      <c r="M165" s="31">
        <v>0</v>
      </c>
      <c r="N165" s="31">
        <f>810+80-890</f>
        <v>0</v>
      </c>
      <c r="O165" s="31">
        <f>1480-1480</f>
        <v>0</v>
      </c>
      <c r="P165" s="31">
        <f>311-311</f>
        <v>0</v>
      </c>
      <c r="Q165" s="146">
        <f>+P165+O165+N165+M165+L165+K165</f>
        <v>121</v>
      </c>
      <c r="R165" s="32" t="e">
        <f>+Q165/G165</f>
        <v>#DIV/0!</v>
      </c>
      <c r="S165" s="32" t="e">
        <f>+K165/G165</f>
        <v>#DIV/0!</v>
      </c>
      <c r="T165" s="32" t="e">
        <f>+L165/G165</f>
        <v>#DIV/0!</v>
      </c>
      <c r="U165" s="32" t="e">
        <f>+N165/G165</f>
        <v>#DIV/0!</v>
      </c>
      <c r="V165" s="32" t="e">
        <f>+O165/G165</f>
        <v>#DIV/0!</v>
      </c>
      <c r="W165" s="32" t="e">
        <f>+P165/G165</f>
        <v>#DIV/0!</v>
      </c>
    </row>
    <row r="166" spans="1:23" x14ac:dyDescent="0.2">
      <c r="A166" s="369"/>
      <c r="B166" s="33" t="s">
        <v>105</v>
      </c>
      <c r="C166" s="161">
        <v>44228</v>
      </c>
      <c r="D166" s="162">
        <v>44255</v>
      </c>
      <c r="E166" s="144">
        <v>0</v>
      </c>
      <c r="F166" s="144">
        <v>0</v>
      </c>
      <c r="G166" s="147">
        <f>1000-36</f>
        <v>964</v>
      </c>
      <c r="H166" s="35">
        <v>0</v>
      </c>
      <c r="I166" s="35">
        <v>0</v>
      </c>
      <c r="J166" s="35">
        <f t="shared" ref="J166:J177" si="121">+I166+H166</f>
        <v>0</v>
      </c>
      <c r="K166" s="35">
        <f>20600-36*20.6</f>
        <v>19858.400000000001</v>
      </c>
      <c r="L166" s="35">
        <f>16021-36*15.9</f>
        <v>15448.6</v>
      </c>
      <c r="M166" s="35">
        <v>0</v>
      </c>
      <c r="N166" s="35">
        <f>890-36*0.89</f>
        <v>857.96</v>
      </c>
      <c r="O166" s="35">
        <f>2340-84</f>
        <v>2256</v>
      </c>
      <c r="P166" s="35">
        <f>311-36*0.3105</f>
        <v>299.822</v>
      </c>
      <c r="Q166" s="147">
        <f t="shared" ref="Q166:Q177" si="122">+P166+O166+N166+M166+L166+K166</f>
        <v>38720.782000000007</v>
      </c>
      <c r="R166" s="36">
        <f t="shared" ref="R166:R178" si="123">+Q166/G166</f>
        <v>40.166786307053947</v>
      </c>
      <c r="S166" s="36">
        <f t="shared" ref="S166:S178" si="124">+K166/G166</f>
        <v>20.6</v>
      </c>
      <c r="T166" s="36">
        <f t="shared" ref="T166:T178" si="125">+L166/G166</f>
        <v>16.025518672199169</v>
      </c>
      <c r="U166" s="36">
        <f t="shared" ref="U166:U178" si="126">+N166/G166</f>
        <v>0.89</v>
      </c>
      <c r="V166" s="36">
        <f t="shared" ref="V166:V178" si="127">+O166/G166</f>
        <v>2.3402489626556018</v>
      </c>
      <c r="W166" s="36">
        <f t="shared" ref="W166:W178" si="128">+P166/G166</f>
        <v>0.31101867219917012</v>
      </c>
    </row>
    <row r="167" spans="1:23" x14ac:dyDescent="0.2">
      <c r="A167" s="369"/>
      <c r="B167" s="33" t="s">
        <v>106</v>
      </c>
      <c r="C167" s="161">
        <v>44256</v>
      </c>
      <c r="D167" s="162">
        <v>44286</v>
      </c>
      <c r="E167" s="144">
        <v>0</v>
      </c>
      <c r="F167" s="144">
        <v>0</v>
      </c>
      <c r="G167" s="147">
        <v>1000</v>
      </c>
      <c r="H167" s="35">
        <v>0</v>
      </c>
      <c r="I167" s="35">
        <v>0</v>
      </c>
      <c r="J167" s="35">
        <f t="shared" si="121"/>
        <v>0</v>
      </c>
      <c r="K167" s="35">
        <v>20600</v>
      </c>
      <c r="L167" s="35">
        <v>16021</v>
      </c>
      <c r="M167" s="35">
        <v>0</v>
      </c>
      <c r="N167" s="35">
        <v>890</v>
      </c>
      <c r="O167" s="35">
        <v>3040</v>
      </c>
      <c r="P167" s="35">
        <f>0.3105*1000</f>
        <v>310.5</v>
      </c>
      <c r="Q167" s="147">
        <f t="shared" si="122"/>
        <v>40861.5</v>
      </c>
      <c r="R167" s="36">
        <f t="shared" si="123"/>
        <v>40.861499999999999</v>
      </c>
      <c r="S167" s="36">
        <f t="shared" si="124"/>
        <v>20.6</v>
      </c>
      <c r="T167" s="36">
        <f t="shared" si="125"/>
        <v>16.021000000000001</v>
      </c>
      <c r="U167" s="36">
        <f t="shared" si="126"/>
        <v>0.89</v>
      </c>
      <c r="V167" s="36">
        <f t="shared" si="127"/>
        <v>3.04</v>
      </c>
      <c r="W167" s="36">
        <f t="shared" si="128"/>
        <v>0.3105</v>
      </c>
    </row>
    <row r="168" spans="1:23" x14ac:dyDescent="0.2">
      <c r="A168" s="369"/>
      <c r="B168" s="33" t="s">
        <v>107</v>
      </c>
      <c r="C168" s="161">
        <v>44287</v>
      </c>
      <c r="D168" s="162">
        <v>44316</v>
      </c>
      <c r="E168" s="144">
        <v>0</v>
      </c>
      <c r="F168" s="144">
        <v>0</v>
      </c>
      <c r="G168" s="147">
        <v>1000</v>
      </c>
      <c r="H168" s="35">
        <v>0</v>
      </c>
      <c r="I168" s="35">
        <v>0</v>
      </c>
      <c r="J168" s="35">
        <f t="shared" si="121"/>
        <v>0</v>
      </c>
      <c r="K168" s="35">
        <v>20600</v>
      </c>
      <c r="L168" s="35">
        <f>16387+121</f>
        <v>16508</v>
      </c>
      <c r="M168" s="35">
        <v>0</v>
      </c>
      <c r="N168" s="35">
        <v>890</v>
      </c>
      <c r="O168" s="35">
        <v>2770</v>
      </c>
      <c r="P168" s="35">
        <v>311</v>
      </c>
      <c r="Q168" s="147">
        <f t="shared" si="122"/>
        <v>41079</v>
      </c>
      <c r="R168" s="36">
        <f t="shared" si="123"/>
        <v>41.079000000000001</v>
      </c>
      <c r="S168" s="36">
        <f t="shared" si="124"/>
        <v>20.6</v>
      </c>
      <c r="T168" s="36">
        <f t="shared" si="125"/>
        <v>16.507999999999999</v>
      </c>
      <c r="U168" s="36">
        <f t="shared" si="126"/>
        <v>0.89</v>
      </c>
      <c r="V168" s="36">
        <f t="shared" si="127"/>
        <v>2.77</v>
      </c>
      <c r="W168" s="36">
        <f t="shared" si="128"/>
        <v>0.311</v>
      </c>
    </row>
    <row r="169" spans="1:23" x14ac:dyDescent="0.2">
      <c r="A169" s="369"/>
      <c r="B169" s="33" t="s">
        <v>108</v>
      </c>
      <c r="C169" s="161">
        <v>44317</v>
      </c>
      <c r="D169" s="162">
        <v>44347</v>
      </c>
      <c r="E169" s="144">
        <v>0</v>
      </c>
      <c r="F169" s="144">
        <v>0</v>
      </c>
      <c r="G169" s="147">
        <v>1000</v>
      </c>
      <c r="H169" s="35">
        <v>0</v>
      </c>
      <c r="I169" s="35">
        <v>0</v>
      </c>
      <c r="J169" s="35">
        <f t="shared" si="121"/>
        <v>0</v>
      </c>
      <c r="K169" s="35">
        <v>20600</v>
      </c>
      <c r="L169" s="35">
        <v>16508</v>
      </c>
      <c r="M169" s="35">
        <v>0</v>
      </c>
      <c r="N169" s="35">
        <v>890</v>
      </c>
      <c r="O169" s="35">
        <v>3230</v>
      </c>
      <c r="P169" s="35">
        <v>311</v>
      </c>
      <c r="Q169" s="147">
        <f t="shared" si="122"/>
        <v>41539</v>
      </c>
      <c r="R169" s="36">
        <f t="shared" si="123"/>
        <v>41.539000000000001</v>
      </c>
      <c r="S169" s="36">
        <f t="shared" si="124"/>
        <v>20.6</v>
      </c>
      <c r="T169" s="36">
        <f t="shared" si="125"/>
        <v>16.507999999999999</v>
      </c>
      <c r="U169" s="36">
        <f t="shared" si="126"/>
        <v>0.89</v>
      </c>
      <c r="V169" s="36">
        <f t="shared" si="127"/>
        <v>3.23</v>
      </c>
      <c r="W169" s="36">
        <f t="shared" si="128"/>
        <v>0.311</v>
      </c>
    </row>
    <row r="170" spans="1:23" x14ac:dyDescent="0.2">
      <c r="A170" s="369"/>
      <c r="B170" s="33" t="s">
        <v>109</v>
      </c>
      <c r="C170" s="161">
        <v>44348</v>
      </c>
      <c r="D170" s="162">
        <v>44377</v>
      </c>
      <c r="E170" s="144">
        <v>0</v>
      </c>
      <c r="F170" s="144">
        <v>0</v>
      </c>
      <c r="G170" s="147">
        <v>1000</v>
      </c>
      <c r="H170" s="35">
        <v>0</v>
      </c>
      <c r="I170" s="35">
        <v>0</v>
      </c>
      <c r="J170" s="35">
        <f t="shared" si="121"/>
        <v>0</v>
      </c>
      <c r="K170" s="35">
        <v>20600</v>
      </c>
      <c r="L170" s="35">
        <v>16508</v>
      </c>
      <c r="M170" s="35">
        <v>0</v>
      </c>
      <c r="N170" s="35">
        <v>890</v>
      </c>
      <c r="O170" s="35">
        <v>1700</v>
      </c>
      <c r="P170" s="35">
        <v>311</v>
      </c>
      <c r="Q170" s="147">
        <f t="shared" si="122"/>
        <v>40009</v>
      </c>
      <c r="R170" s="36">
        <f t="shared" si="123"/>
        <v>40.009</v>
      </c>
      <c r="S170" s="36">
        <f t="shared" si="124"/>
        <v>20.6</v>
      </c>
      <c r="T170" s="36">
        <f t="shared" si="125"/>
        <v>16.507999999999999</v>
      </c>
      <c r="U170" s="36">
        <f t="shared" si="126"/>
        <v>0.89</v>
      </c>
      <c r="V170" s="36">
        <f t="shared" si="127"/>
        <v>1.7</v>
      </c>
      <c r="W170" s="36">
        <f t="shared" si="128"/>
        <v>0.311</v>
      </c>
    </row>
    <row r="171" spans="1:23" x14ac:dyDescent="0.2">
      <c r="A171" s="369"/>
      <c r="B171" s="33" t="s">
        <v>110</v>
      </c>
      <c r="C171" s="161">
        <v>44378</v>
      </c>
      <c r="D171" s="162">
        <v>44408</v>
      </c>
      <c r="E171" s="144">
        <v>0</v>
      </c>
      <c r="F171" s="144">
        <v>0</v>
      </c>
      <c r="G171" s="147">
        <v>1000</v>
      </c>
      <c r="H171" s="35">
        <v>0</v>
      </c>
      <c r="I171" s="35">
        <v>0</v>
      </c>
      <c r="J171" s="35">
        <f t="shared" si="121"/>
        <v>0</v>
      </c>
      <c r="K171" s="35">
        <v>20600</v>
      </c>
      <c r="L171" s="35">
        <v>16508</v>
      </c>
      <c r="M171" s="35">
        <v>0</v>
      </c>
      <c r="N171" s="35">
        <f>1450+80</f>
        <v>1530</v>
      </c>
      <c r="O171" s="35">
        <v>200</v>
      </c>
      <c r="P171" s="35">
        <v>311</v>
      </c>
      <c r="Q171" s="147">
        <f t="shared" si="122"/>
        <v>39149</v>
      </c>
      <c r="R171" s="36">
        <f t="shared" si="123"/>
        <v>39.149000000000001</v>
      </c>
      <c r="S171" s="36">
        <f t="shared" si="124"/>
        <v>20.6</v>
      </c>
      <c r="T171" s="36">
        <f t="shared" si="125"/>
        <v>16.507999999999999</v>
      </c>
      <c r="U171" s="36">
        <f t="shared" si="126"/>
        <v>1.53</v>
      </c>
      <c r="V171" s="36">
        <f t="shared" si="127"/>
        <v>0.2</v>
      </c>
      <c r="W171" s="36">
        <f t="shared" si="128"/>
        <v>0.311</v>
      </c>
    </row>
    <row r="172" spans="1:23" x14ac:dyDescent="0.2">
      <c r="A172" s="369"/>
      <c r="B172" s="33" t="s">
        <v>111</v>
      </c>
      <c r="C172" s="161">
        <v>44409</v>
      </c>
      <c r="D172" s="162">
        <v>44439</v>
      </c>
      <c r="E172" s="144">
        <v>0</v>
      </c>
      <c r="F172" s="144">
        <v>0</v>
      </c>
      <c r="G172" s="147">
        <v>1000</v>
      </c>
      <c r="H172" s="35">
        <v>0</v>
      </c>
      <c r="I172" s="35">
        <v>0</v>
      </c>
      <c r="J172" s="35">
        <f t="shared" si="121"/>
        <v>0</v>
      </c>
      <c r="K172" s="35">
        <v>20600</v>
      </c>
      <c r="L172" s="35">
        <v>16508</v>
      </c>
      <c r="M172" s="35">
        <v>0</v>
      </c>
      <c r="N172" s="35">
        <v>1530</v>
      </c>
      <c r="O172" s="35">
        <v>0</v>
      </c>
      <c r="P172" s="35">
        <v>311</v>
      </c>
      <c r="Q172" s="147">
        <f t="shared" si="122"/>
        <v>38949</v>
      </c>
      <c r="R172" s="36">
        <f t="shared" si="123"/>
        <v>38.948999999999998</v>
      </c>
      <c r="S172" s="36">
        <f t="shared" si="124"/>
        <v>20.6</v>
      </c>
      <c r="T172" s="36">
        <f t="shared" si="125"/>
        <v>16.507999999999999</v>
      </c>
      <c r="U172" s="36">
        <f t="shared" si="126"/>
        <v>1.53</v>
      </c>
      <c r="V172" s="36">
        <f t="shared" si="127"/>
        <v>0</v>
      </c>
      <c r="W172" s="36">
        <f t="shared" si="128"/>
        <v>0.311</v>
      </c>
    </row>
    <row r="173" spans="1:23" x14ac:dyDescent="0.2">
      <c r="A173" s="369"/>
      <c r="B173" s="33" t="s">
        <v>112</v>
      </c>
      <c r="C173" s="161">
        <v>44440</v>
      </c>
      <c r="D173" s="162">
        <v>44469</v>
      </c>
      <c r="E173" s="144">
        <v>0</v>
      </c>
      <c r="F173" s="144">
        <v>0</v>
      </c>
      <c r="G173" s="147">
        <v>1000</v>
      </c>
      <c r="H173" s="35">
        <v>0</v>
      </c>
      <c r="I173" s="35">
        <v>0</v>
      </c>
      <c r="J173" s="35">
        <f t="shared" si="121"/>
        <v>0</v>
      </c>
      <c r="K173" s="35">
        <v>20600</v>
      </c>
      <c r="L173" s="35">
        <v>16508</v>
      </c>
      <c r="M173" s="35">
        <v>0</v>
      </c>
      <c r="N173" s="35">
        <v>1530</v>
      </c>
      <c r="O173" s="35">
        <v>0</v>
      </c>
      <c r="P173" s="35">
        <v>311</v>
      </c>
      <c r="Q173" s="147">
        <f t="shared" si="122"/>
        <v>38949</v>
      </c>
      <c r="R173" s="36">
        <f t="shared" si="123"/>
        <v>38.948999999999998</v>
      </c>
      <c r="S173" s="36">
        <f t="shared" si="124"/>
        <v>20.6</v>
      </c>
      <c r="T173" s="36">
        <f t="shared" si="125"/>
        <v>16.507999999999999</v>
      </c>
      <c r="U173" s="36">
        <f t="shared" si="126"/>
        <v>1.53</v>
      </c>
      <c r="V173" s="36">
        <f t="shared" si="127"/>
        <v>0</v>
      </c>
      <c r="W173" s="36">
        <f t="shared" si="128"/>
        <v>0.311</v>
      </c>
    </row>
    <row r="174" spans="1:23" x14ac:dyDescent="0.2">
      <c r="A174" s="369"/>
      <c r="B174" s="33" t="s">
        <v>113</v>
      </c>
      <c r="C174" s="161">
        <v>44470</v>
      </c>
      <c r="D174" s="162">
        <v>44500</v>
      </c>
      <c r="E174" s="144">
        <v>0</v>
      </c>
      <c r="F174" s="144">
        <v>0</v>
      </c>
      <c r="G174" s="147">
        <v>1000</v>
      </c>
      <c r="H174" s="35">
        <v>0</v>
      </c>
      <c r="I174" s="35">
        <v>0</v>
      </c>
      <c r="J174" s="35">
        <f t="shared" si="121"/>
        <v>0</v>
      </c>
      <c r="K174" s="35">
        <v>20600</v>
      </c>
      <c r="L174" s="35">
        <v>16508</v>
      </c>
      <c r="M174" s="35">
        <v>0</v>
      </c>
      <c r="N174" s="35">
        <v>1530</v>
      </c>
      <c r="O174" s="35">
        <v>0</v>
      </c>
      <c r="P174" s="35">
        <f>311+270</f>
        <v>581</v>
      </c>
      <c r="Q174" s="147">
        <f t="shared" si="122"/>
        <v>39219</v>
      </c>
      <c r="R174" s="36">
        <f t="shared" si="123"/>
        <v>39.219000000000001</v>
      </c>
      <c r="S174" s="36">
        <f t="shared" si="124"/>
        <v>20.6</v>
      </c>
      <c r="T174" s="36">
        <f t="shared" si="125"/>
        <v>16.507999999999999</v>
      </c>
      <c r="U174" s="36">
        <f t="shared" si="126"/>
        <v>1.53</v>
      </c>
      <c r="V174" s="36">
        <f t="shared" si="127"/>
        <v>0</v>
      </c>
      <c r="W174" s="36">
        <f t="shared" si="128"/>
        <v>0.58099999999999996</v>
      </c>
    </row>
    <row r="175" spans="1:23" x14ac:dyDescent="0.2">
      <c r="A175" s="369"/>
      <c r="B175" s="33" t="s">
        <v>114</v>
      </c>
      <c r="C175" s="161">
        <v>44501</v>
      </c>
      <c r="D175" s="162">
        <v>44530</v>
      </c>
      <c r="E175" s="144">
        <v>0</v>
      </c>
      <c r="F175" s="144">
        <v>0</v>
      </c>
      <c r="G175" s="147">
        <v>1000</v>
      </c>
      <c r="H175" s="35">
        <v>0</v>
      </c>
      <c r="I175" s="35">
        <v>0</v>
      </c>
      <c r="J175" s="35">
        <f t="shared" si="121"/>
        <v>0</v>
      </c>
      <c r="K175" s="35">
        <v>20600</v>
      </c>
      <c r="L175" s="35">
        <v>16508</v>
      </c>
      <c r="M175" s="35">
        <v>0</v>
      </c>
      <c r="N175" s="35">
        <v>1530</v>
      </c>
      <c r="O175" s="35">
        <v>0</v>
      </c>
      <c r="P175" s="35">
        <f>311+270</f>
        <v>581</v>
      </c>
      <c r="Q175" s="147">
        <f t="shared" ref="Q175" si="129">+P175+O175+N175+M175+L175+K175</f>
        <v>39219</v>
      </c>
      <c r="R175" s="36">
        <f t="shared" ref="R175" si="130">+Q175/G175</f>
        <v>39.219000000000001</v>
      </c>
      <c r="S175" s="36">
        <f t="shared" ref="S175" si="131">+K175/G175</f>
        <v>20.6</v>
      </c>
      <c r="T175" s="36">
        <f t="shared" ref="T175" si="132">+L175/G175</f>
        <v>16.507999999999999</v>
      </c>
      <c r="U175" s="36">
        <f t="shared" ref="U175" si="133">+N175/G175</f>
        <v>1.53</v>
      </c>
      <c r="V175" s="36">
        <f t="shared" ref="V175" si="134">+O175/G175</f>
        <v>0</v>
      </c>
      <c r="W175" s="36">
        <f t="shared" ref="W175" si="135">+P175/G175</f>
        <v>0.58099999999999996</v>
      </c>
    </row>
    <row r="176" spans="1:23" x14ac:dyDescent="0.2">
      <c r="A176" s="369"/>
      <c r="B176" s="33" t="s">
        <v>349</v>
      </c>
      <c r="C176" s="70">
        <v>44531</v>
      </c>
      <c r="D176" s="34">
        <v>44561</v>
      </c>
      <c r="E176" s="35">
        <v>0</v>
      </c>
      <c r="F176" s="35">
        <v>0</v>
      </c>
      <c r="G176" s="147">
        <v>1000</v>
      </c>
      <c r="H176" s="35">
        <v>0</v>
      </c>
      <c r="I176" s="35">
        <v>0</v>
      </c>
      <c r="J176" s="35">
        <f t="shared" si="121"/>
        <v>0</v>
      </c>
      <c r="K176" s="35">
        <v>20600</v>
      </c>
      <c r="L176" s="35">
        <v>16508</v>
      </c>
      <c r="M176" s="35">
        <v>0</v>
      </c>
      <c r="N176" s="35">
        <v>1530</v>
      </c>
      <c r="O176" s="35">
        <v>0</v>
      </c>
      <c r="P176" s="35">
        <f>311+270</f>
        <v>581</v>
      </c>
      <c r="Q176" s="147">
        <f t="shared" si="122"/>
        <v>39219</v>
      </c>
      <c r="R176" s="36">
        <f t="shared" si="123"/>
        <v>39.219000000000001</v>
      </c>
      <c r="S176" s="36">
        <f t="shared" si="124"/>
        <v>20.6</v>
      </c>
      <c r="T176" s="36">
        <f t="shared" si="125"/>
        <v>16.507999999999999</v>
      </c>
      <c r="U176" s="36">
        <f t="shared" si="126"/>
        <v>1.53</v>
      </c>
      <c r="V176" s="36">
        <f t="shared" si="127"/>
        <v>0</v>
      </c>
      <c r="W176" s="36">
        <f t="shared" si="128"/>
        <v>0.58099999999999996</v>
      </c>
    </row>
    <row r="177" spans="1:23" ht="15" thickBot="1" x14ac:dyDescent="0.25">
      <c r="A177" s="383"/>
      <c r="B177" s="71" t="s">
        <v>440</v>
      </c>
      <c r="C177" s="72">
        <v>44229</v>
      </c>
      <c r="D177" s="73">
        <v>44561</v>
      </c>
      <c r="E177" s="74">
        <v>0</v>
      </c>
      <c r="F177" s="74">
        <v>0</v>
      </c>
      <c r="G177" s="193">
        <v>256</v>
      </c>
      <c r="H177" s="74">
        <v>0</v>
      </c>
      <c r="I177" s="74">
        <v>0</v>
      </c>
      <c r="J177" s="74">
        <f t="shared" si="121"/>
        <v>0</v>
      </c>
      <c r="K177" s="74">
        <v>5270</v>
      </c>
      <c r="L177" s="74">
        <v>4192</v>
      </c>
      <c r="M177" s="74">
        <v>0</v>
      </c>
      <c r="N177" s="74">
        <f>46+292+24</f>
        <v>362</v>
      </c>
      <c r="O177" s="74">
        <f>571-362</f>
        <v>209</v>
      </c>
      <c r="P177" s="74">
        <f>73+27</f>
        <v>100</v>
      </c>
      <c r="Q177" s="193">
        <f t="shared" si="122"/>
        <v>10133</v>
      </c>
      <c r="R177" s="75">
        <f t="shared" si="123"/>
        <v>39.58203125</v>
      </c>
      <c r="S177" s="75">
        <f t="shared" si="124"/>
        <v>20.5859375</v>
      </c>
      <c r="T177" s="75">
        <f t="shared" si="125"/>
        <v>16.375</v>
      </c>
      <c r="U177" s="75">
        <f t="shared" si="126"/>
        <v>1.4140625</v>
      </c>
      <c r="V177" s="75">
        <f t="shared" si="127"/>
        <v>0.81640625</v>
      </c>
      <c r="W177" s="75">
        <f t="shared" si="128"/>
        <v>0.390625</v>
      </c>
    </row>
    <row r="178" spans="1:23" ht="27" customHeight="1" thickTop="1" thickBot="1" x14ac:dyDescent="0.25">
      <c r="A178" s="361" t="s">
        <v>6</v>
      </c>
      <c r="B178" s="362"/>
      <c r="C178" s="362"/>
      <c r="D178" s="363"/>
      <c r="E178" s="40"/>
      <c r="F178" s="40"/>
      <c r="G178" s="40">
        <f>SUM(G166:G177)</f>
        <v>11220</v>
      </c>
      <c r="H178" s="40">
        <f t="shared" ref="H178:Q178" si="136">SUM(H166:H177)</f>
        <v>0</v>
      </c>
      <c r="I178" s="40">
        <f t="shared" si="136"/>
        <v>0</v>
      </c>
      <c r="J178" s="40">
        <f t="shared" si="136"/>
        <v>0</v>
      </c>
      <c r="K178" s="40">
        <f t="shared" si="136"/>
        <v>231128.4</v>
      </c>
      <c r="L178" s="40">
        <f t="shared" si="136"/>
        <v>184233.60000000001</v>
      </c>
      <c r="M178" s="40">
        <f t="shared" si="136"/>
        <v>0</v>
      </c>
      <c r="N178" s="40">
        <f t="shared" si="136"/>
        <v>13959.96</v>
      </c>
      <c r="O178" s="40">
        <f t="shared" si="136"/>
        <v>13405</v>
      </c>
      <c r="P178" s="40">
        <f t="shared" si="136"/>
        <v>4319.3220000000001</v>
      </c>
      <c r="Q178" s="40">
        <f t="shared" si="136"/>
        <v>447046.28200000001</v>
      </c>
      <c r="R178" s="41">
        <f t="shared" si="123"/>
        <v>39.843697147950088</v>
      </c>
      <c r="S178" s="41">
        <f t="shared" si="124"/>
        <v>20.599679144385025</v>
      </c>
      <c r="T178" s="41">
        <f t="shared" si="125"/>
        <v>16.420106951871659</v>
      </c>
      <c r="U178" s="41">
        <f t="shared" si="126"/>
        <v>1.2442032085561496</v>
      </c>
      <c r="V178" s="41">
        <f t="shared" si="127"/>
        <v>1.1947415329768272</v>
      </c>
      <c r="W178" s="41">
        <f t="shared" si="128"/>
        <v>0.38496631016042782</v>
      </c>
    </row>
    <row r="179" spans="1:23" ht="15.75" thickTop="1" x14ac:dyDescent="0.25">
      <c r="A179" s="47" t="s">
        <v>86</v>
      </c>
      <c r="B179" s="382" t="s">
        <v>135</v>
      </c>
      <c r="C179" s="382"/>
      <c r="D179" s="382"/>
      <c r="E179" s="382"/>
      <c r="F179" s="382"/>
      <c r="G179" s="381" t="s">
        <v>87</v>
      </c>
      <c r="H179" s="381"/>
      <c r="I179" s="380" t="s">
        <v>136</v>
      </c>
      <c r="J179" s="380"/>
      <c r="K179" s="62" t="s">
        <v>100</v>
      </c>
      <c r="L179" s="381" t="s">
        <v>138</v>
      </c>
      <c r="M179" s="381"/>
      <c r="N179" s="381"/>
      <c r="O179" s="381"/>
      <c r="P179" s="67"/>
      <c r="Q179" s="67" t="s">
        <v>92</v>
      </c>
      <c r="S179" s="380" t="s">
        <v>137</v>
      </c>
      <c r="T179" s="380"/>
    </row>
    <row r="180" spans="1:23" ht="15" thickBot="1" x14ac:dyDescent="0.25"/>
    <row r="181" spans="1:23" ht="52.5" customHeight="1" thickTop="1" thickBot="1" x14ac:dyDescent="0.25">
      <c r="A181" s="384" t="s">
        <v>64</v>
      </c>
      <c r="B181" s="364" t="s">
        <v>0</v>
      </c>
      <c r="C181" s="360" t="s">
        <v>5</v>
      </c>
      <c r="D181" s="360"/>
      <c r="E181" s="360" t="s">
        <v>29</v>
      </c>
      <c r="F181" s="360" t="s">
        <v>30</v>
      </c>
      <c r="G181" s="364" t="s">
        <v>7</v>
      </c>
      <c r="H181" s="357" t="s">
        <v>8</v>
      </c>
      <c r="I181" s="358"/>
      <c r="J181" s="359"/>
      <c r="K181" s="357" t="s">
        <v>11</v>
      </c>
      <c r="L181" s="358"/>
      <c r="M181" s="358"/>
      <c r="N181" s="358"/>
      <c r="O181" s="358"/>
      <c r="P181" s="358"/>
      <c r="Q181" s="359"/>
      <c r="R181" s="357" t="s">
        <v>31</v>
      </c>
      <c r="S181" s="358"/>
      <c r="T181" s="358"/>
      <c r="U181" s="358"/>
      <c r="V181" s="358"/>
      <c r="W181" s="359"/>
    </row>
    <row r="182" spans="1:23" ht="111.75" customHeight="1" thickTop="1" thickBot="1" x14ac:dyDescent="0.25">
      <c r="A182" s="385"/>
      <c r="B182" s="365"/>
      <c r="C182" s="60" t="s">
        <v>3</v>
      </c>
      <c r="D182" s="60" t="s">
        <v>4</v>
      </c>
      <c r="E182" s="360"/>
      <c r="F182" s="360"/>
      <c r="G182" s="365"/>
      <c r="H182" s="60" t="s">
        <v>17</v>
      </c>
      <c r="I182" s="60" t="s">
        <v>68</v>
      </c>
      <c r="J182" s="60" t="s">
        <v>6</v>
      </c>
      <c r="K182" s="60" t="s">
        <v>9</v>
      </c>
      <c r="L182" s="60" t="s">
        <v>10</v>
      </c>
      <c r="M182" s="60" t="s">
        <v>12</v>
      </c>
      <c r="N182" s="60" t="s">
        <v>24</v>
      </c>
      <c r="O182" s="60" t="s">
        <v>25</v>
      </c>
      <c r="P182" s="60" t="s">
        <v>436</v>
      </c>
      <c r="Q182" s="60" t="s">
        <v>23</v>
      </c>
      <c r="R182" s="61" t="s">
        <v>6</v>
      </c>
      <c r="S182" s="61" t="s">
        <v>22</v>
      </c>
      <c r="T182" s="61" t="s">
        <v>20</v>
      </c>
      <c r="U182" s="61" t="s">
        <v>32</v>
      </c>
      <c r="V182" s="61" t="s">
        <v>33</v>
      </c>
      <c r="W182" s="294" t="s">
        <v>386</v>
      </c>
    </row>
    <row r="183" spans="1:23" ht="15" thickTop="1" x14ac:dyDescent="0.2">
      <c r="A183" s="369" t="s">
        <v>139</v>
      </c>
      <c r="B183" s="33" t="s">
        <v>104</v>
      </c>
      <c r="C183" s="70">
        <v>44197</v>
      </c>
      <c r="D183" s="34">
        <v>44227</v>
      </c>
      <c r="E183" s="35">
        <v>0</v>
      </c>
      <c r="F183" s="35">
        <v>0</v>
      </c>
      <c r="G183" s="147">
        <v>3667</v>
      </c>
      <c r="H183" s="144">
        <v>0</v>
      </c>
      <c r="I183" s="144">
        <v>0</v>
      </c>
      <c r="J183" s="144">
        <v>0</v>
      </c>
      <c r="K183" s="144">
        <v>75540</v>
      </c>
      <c r="L183" s="144">
        <f>58306+121</f>
        <v>58427</v>
      </c>
      <c r="M183" s="144">
        <v>0</v>
      </c>
      <c r="N183" s="144">
        <f>2970+293</f>
        <v>3263</v>
      </c>
      <c r="O183" s="144">
        <v>5427</v>
      </c>
      <c r="P183" s="144">
        <v>1139</v>
      </c>
      <c r="Q183" s="147">
        <f>+P183+O183+N183+M183+L183+K183</f>
        <v>143796</v>
      </c>
      <c r="R183" s="36">
        <f t="shared" ref="R183:R197" si="137">+Q183/G183</f>
        <v>39.213526043086993</v>
      </c>
      <c r="S183" s="36">
        <f t="shared" ref="S183:S197" si="138">+K183/G183</f>
        <v>20.599945459503683</v>
      </c>
      <c r="T183" s="36">
        <f t="shared" ref="T183:T197" si="139">+L183/G183</f>
        <v>15.933187892009817</v>
      </c>
      <c r="U183" s="36">
        <f t="shared" ref="U183:U197" si="140">+N183/G183</f>
        <v>0.88982819743659669</v>
      </c>
      <c r="V183" s="36">
        <f t="shared" ref="V183:V197" si="141">+O183/G183</f>
        <v>1.4799563676029452</v>
      </c>
      <c r="W183" s="36">
        <f t="shared" ref="W183:W197" si="142">+P183/G183</f>
        <v>0.31060812653395148</v>
      </c>
    </row>
    <row r="184" spans="1:23" x14ac:dyDescent="0.2">
      <c r="A184" s="369"/>
      <c r="B184" s="33" t="s">
        <v>105</v>
      </c>
      <c r="C184" s="70">
        <v>44228</v>
      </c>
      <c r="D184" s="34">
        <v>44255</v>
      </c>
      <c r="E184" s="35">
        <v>0</v>
      </c>
      <c r="F184" s="35">
        <v>0</v>
      </c>
      <c r="G184" s="147">
        <v>3667</v>
      </c>
      <c r="H184" s="144">
        <v>0</v>
      </c>
      <c r="I184" s="144">
        <v>0</v>
      </c>
      <c r="J184" s="144">
        <f t="shared" ref="J184:J196" si="143">+I184+H184</f>
        <v>0</v>
      </c>
      <c r="K184" s="144">
        <v>75540</v>
      </c>
      <c r="L184" s="144">
        <v>58427</v>
      </c>
      <c r="M184" s="144">
        <v>0</v>
      </c>
      <c r="N184" s="144">
        <v>3263</v>
      </c>
      <c r="O184" s="144">
        <v>8581</v>
      </c>
      <c r="P184" s="144">
        <v>1139</v>
      </c>
      <c r="Q184" s="147">
        <f>+P184+O184+N184+M184+L184+K184</f>
        <v>146950</v>
      </c>
      <c r="R184" s="36">
        <f t="shared" si="137"/>
        <v>40.073629670029995</v>
      </c>
      <c r="S184" s="36">
        <f t="shared" si="138"/>
        <v>20.599945459503683</v>
      </c>
      <c r="T184" s="36">
        <f t="shared" si="139"/>
        <v>15.933187892009817</v>
      </c>
      <c r="U184" s="36">
        <f t="shared" si="140"/>
        <v>0.88982819743659669</v>
      </c>
      <c r="V184" s="36">
        <f t="shared" si="141"/>
        <v>2.3400599945459502</v>
      </c>
      <c r="W184" s="36">
        <f t="shared" si="142"/>
        <v>0.31060812653395148</v>
      </c>
    </row>
    <row r="185" spans="1:23" x14ac:dyDescent="0.2">
      <c r="A185" s="369"/>
      <c r="B185" s="33" t="s">
        <v>106</v>
      </c>
      <c r="C185" s="70">
        <v>44256</v>
      </c>
      <c r="D185" s="34">
        <v>44286</v>
      </c>
      <c r="E185" s="35">
        <v>0</v>
      </c>
      <c r="F185" s="35">
        <v>0</v>
      </c>
      <c r="G185" s="147">
        <v>3667</v>
      </c>
      <c r="H185" s="144">
        <v>0</v>
      </c>
      <c r="I185" s="144">
        <v>0</v>
      </c>
      <c r="J185" s="144">
        <f t="shared" si="143"/>
        <v>0</v>
      </c>
      <c r="K185" s="144">
        <v>75540</v>
      </c>
      <c r="L185" s="144">
        <v>58427</v>
      </c>
      <c r="M185" s="144">
        <v>0</v>
      </c>
      <c r="N185" s="144">
        <v>3263</v>
      </c>
      <c r="O185" s="144">
        <v>11148</v>
      </c>
      <c r="P185" s="144">
        <v>1139</v>
      </c>
      <c r="Q185" s="147">
        <f t="shared" ref="Q185:Q195" si="144">+P185+O185+N185+M185+L185+K185</f>
        <v>149517</v>
      </c>
      <c r="R185" s="36">
        <f t="shared" si="137"/>
        <v>40.773656940278158</v>
      </c>
      <c r="S185" s="36">
        <f t="shared" si="138"/>
        <v>20.599945459503683</v>
      </c>
      <c r="T185" s="36">
        <f t="shared" si="139"/>
        <v>15.933187892009817</v>
      </c>
      <c r="U185" s="36">
        <f t="shared" si="140"/>
        <v>0.88982819743659669</v>
      </c>
      <c r="V185" s="36">
        <f t="shared" si="141"/>
        <v>3.0400872647941095</v>
      </c>
      <c r="W185" s="36">
        <f t="shared" si="142"/>
        <v>0.31060812653395148</v>
      </c>
    </row>
    <row r="186" spans="1:23" x14ac:dyDescent="0.2">
      <c r="A186" s="369"/>
      <c r="B186" s="33" t="s">
        <v>107</v>
      </c>
      <c r="C186" s="70">
        <v>44287</v>
      </c>
      <c r="D186" s="34">
        <v>44316</v>
      </c>
      <c r="E186" s="35">
        <v>0</v>
      </c>
      <c r="F186" s="35">
        <v>0</v>
      </c>
      <c r="G186" s="147">
        <v>3667</v>
      </c>
      <c r="H186" s="144">
        <v>0</v>
      </c>
      <c r="I186" s="144">
        <v>0</v>
      </c>
      <c r="J186" s="144">
        <f t="shared" si="143"/>
        <v>0</v>
      </c>
      <c r="K186" s="144">
        <v>75540</v>
      </c>
      <c r="L186" s="144">
        <f>60091+121</f>
        <v>60212</v>
      </c>
      <c r="M186" s="144">
        <v>0</v>
      </c>
      <c r="N186" s="144">
        <v>3263</v>
      </c>
      <c r="O186" s="144">
        <v>10158</v>
      </c>
      <c r="P186" s="144">
        <v>1139</v>
      </c>
      <c r="Q186" s="147">
        <f t="shared" si="144"/>
        <v>150312</v>
      </c>
      <c r="R186" s="36">
        <f t="shared" si="137"/>
        <v>40.990455413144261</v>
      </c>
      <c r="S186" s="36">
        <f t="shared" si="138"/>
        <v>20.599945459503683</v>
      </c>
      <c r="T186" s="36">
        <f t="shared" si="139"/>
        <v>16.419961821652578</v>
      </c>
      <c r="U186" s="36">
        <f t="shared" si="140"/>
        <v>0.88982819743659669</v>
      </c>
      <c r="V186" s="36">
        <f t="shared" si="141"/>
        <v>2.7701118080174529</v>
      </c>
      <c r="W186" s="36">
        <f t="shared" si="142"/>
        <v>0.31060812653395148</v>
      </c>
    </row>
    <row r="187" spans="1:23" x14ac:dyDescent="0.2">
      <c r="A187" s="369"/>
      <c r="B187" s="33" t="s">
        <v>108</v>
      </c>
      <c r="C187" s="70">
        <v>44317</v>
      </c>
      <c r="D187" s="34">
        <v>44347</v>
      </c>
      <c r="E187" s="35">
        <v>0</v>
      </c>
      <c r="F187" s="35">
        <v>0</v>
      </c>
      <c r="G187" s="147">
        <v>3667</v>
      </c>
      <c r="H187" s="144">
        <v>0</v>
      </c>
      <c r="I187" s="144">
        <v>0</v>
      </c>
      <c r="J187" s="144">
        <f t="shared" si="143"/>
        <v>0</v>
      </c>
      <c r="K187" s="144">
        <v>75540</v>
      </c>
      <c r="L187" s="144">
        <v>60212</v>
      </c>
      <c r="M187" s="144">
        <v>0</v>
      </c>
      <c r="N187" s="144">
        <v>3263</v>
      </c>
      <c r="O187" s="144">
        <v>11844</v>
      </c>
      <c r="P187" s="144">
        <v>1139</v>
      </c>
      <c r="Q187" s="147">
        <f t="shared" si="144"/>
        <v>151998</v>
      </c>
      <c r="R187" s="36">
        <f t="shared" si="137"/>
        <v>41.450231797109353</v>
      </c>
      <c r="S187" s="36">
        <f t="shared" si="138"/>
        <v>20.599945459503683</v>
      </c>
      <c r="T187" s="36">
        <f t="shared" si="139"/>
        <v>16.419961821652578</v>
      </c>
      <c r="U187" s="36">
        <f t="shared" si="140"/>
        <v>0.88982819743659669</v>
      </c>
      <c r="V187" s="36">
        <f t="shared" si="141"/>
        <v>3.2298881919825471</v>
      </c>
      <c r="W187" s="36">
        <f t="shared" si="142"/>
        <v>0.31060812653395148</v>
      </c>
    </row>
    <row r="188" spans="1:23" x14ac:dyDescent="0.2">
      <c r="A188" s="369"/>
      <c r="B188" s="33" t="s">
        <v>109</v>
      </c>
      <c r="C188" s="70">
        <v>44348</v>
      </c>
      <c r="D188" s="34">
        <v>44377</v>
      </c>
      <c r="E188" s="35">
        <v>0</v>
      </c>
      <c r="F188" s="35">
        <v>0</v>
      </c>
      <c r="G188" s="147">
        <v>3667</v>
      </c>
      <c r="H188" s="144">
        <v>0</v>
      </c>
      <c r="I188" s="144">
        <v>0</v>
      </c>
      <c r="J188" s="144">
        <f t="shared" si="143"/>
        <v>0</v>
      </c>
      <c r="K188" s="144">
        <v>75540</v>
      </c>
      <c r="L188" s="144">
        <v>60212</v>
      </c>
      <c r="M188" s="144">
        <v>0</v>
      </c>
      <c r="N188" s="144">
        <v>3263</v>
      </c>
      <c r="O188" s="144">
        <v>6234</v>
      </c>
      <c r="P188" s="144">
        <v>1139</v>
      </c>
      <c r="Q188" s="147">
        <f t="shared" si="144"/>
        <v>146388</v>
      </c>
      <c r="R188" s="36">
        <f t="shared" si="137"/>
        <v>39.920370875374964</v>
      </c>
      <c r="S188" s="36">
        <f t="shared" si="138"/>
        <v>20.599945459503683</v>
      </c>
      <c r="T188" s="36">
        <f t="shared" si="139"/>
        <v>16.419961821652578</v>
      </c>
      <c r="U188" s="36">
        <f t="shared" si="140"/>
        <v>0.88982819743659669</v>
      </c>
      <c r="V188" s="36">
        <f t="shared" si="141"/>
        <v>1.7000272702481594</v>
      </c>
      <c r="W188" s="36">
        <f t="shared" si="142"/>
        <v>0.31060812653395148</v>
      </c>
    </row>
    <row r="189" spans="1:23" x14ac:dyDescent="0.2">
      <c r="A189" s="369"/>
      <c r="B189" s="33" t="s">
        <v>110</v>
      </c>
      <c r="C189" s="70">
        <v>44378</v>
      </c>
      <c r="D189" s="34">
        <v>44408</v>
      </c>
      <c r="E189" s="35">
        <v>0</v>
      </c>
      <c r="F189" s="35">
        <v>0</v>
      </c>
      <c r="G189" s="147">
        <v>3667</v>
      </c>
      <c r="H189" s="144">
        <v>0</v>
      </c>
      <c r="I189" s="144">
        <v>0</v>
      </c>
      <c r="J189" s="144">
        <v>0</v>
      </c>
      <c r="K189" s="144">
        <v>75540</v>
      </c>
      <c r="L189" s="144">
        <v>60212</v>
      </c>
      <c r="M189" s="144">
        <v>0</v>
      </c>
      <c r="N189" s="144">
        <f>5317+293</f>
        <v>5610</v>
      </c>
      <c r="O189" s="144">
        <v>733</v>
      </c>
      <c r="P189" s="144">
        <v>1139</v>
      </c>
      <c r="Q189" s="147">
        <f t="shared" si="144"/>
        <v>143234</v>
      </c>
      <c r="R189" s="36">
        <f t="shared" ref="R189" si="145">+Q189/G189</f>
        <v>39.060267248431963</v>
      </c>
      <c r="S189" s="36">
        <f t="shared" ref="S189" si="146">+K189/G189</f>
        <v>20.599945459503683</v>
      </c>
      <c r="T189" s="36">
        <f t="shared" ref="T189" si="147">+L189/G189</f>
        <v>16.419961821652578</v>
      </c>
      <c r="U189" s="36">
        <f t="shared" ref="U189" si="148">+N189/G189</f>
        <v>1.5298609217343877</v>
      </c>
      <c r="V189" s="36">
        <f t="shared" ref="V189" si="149">+O189/G189</f>
        <v>0.19989091900736297</v>
      </c>
      <c r="W189" s="36">
        <f t="shared" ref="W189" si="150">+P189/G189</f>
        <v>0.31060812653395148</v>
      </c>
    </row>
    <row r="190" spans="1:23" x14ac:dyDescent="0.2">
      <c r="A190" s="369"/>
      <c r="B190" s="33" t="s">
        <v>111</v>
      </c>
      <c r="C190" s="161">
        <v>44409</v>
      </c>
      <c r="D190" s="162">
        <v>44439</v>
      </c>
      <c r="E190" s="35">
        <v>0</v>
      </c>
      <c r="F190" s="35">
        <v>0</v>
      </c>
      <c r="G190" s="147">
        <v>3667</v>
      </c>
      <c r="H190" s="144">
        <v>0</v>
      </c>
      <c r="I190" s="144">
        <v>0</v>
      </c>
      <c r="J190" s="144">
        <v>0</v>
      </c>
      <c r="K190" s="144">
        <v>75540</v>
      </c>
      <c r="L190" s="144">
        <v>60212</v>
      </c>
      <c r="M190" s="144">
        <v>0</v>
      </c>
      <c r="N190" s="144">
        <v>5610</v>
      </c>
      <c r="O190" s="144">
        <v>0</v>
      </c>
      <c r="P190" s="144">
        <v>1139</v>
      </c>
      <c r="Q190" s="147">
        <f t="shared" si="144"/>
        <v>142501</v>
      </c>
      <c r="R190" s="36">
        <f t="shared" si="137"/>
        <v>38.860376329424597</v>
      </c>
      <c r="S190" s="36">
        <f t="shared" si="138"/>
        <v>20.599945459503683</v>
      </c>
      <c r="T190" s="36">
        <f t="shared" si="139"/>
        <v>16.419961821652578</v>
      </c>
      <c r="U190" s="36">
        <f t="shared" si="140"/>
        <v>1.5298609217343877</v>
      </c>
      <c r="V190" s="36">
        <f t="shared" si="141"/>
        <v>0</v>
      </c>
      <c r="W190" s="36">
        <f t="shared" si="142"/>
        <v>0.31060812653395148</v>
      </c>
    </row>
    <row r="191" spans="1:23" x14ac:dyDescent="0.2">
      <c r="A191" s="369"/>
      <c r="B191" s="33" t="s">
        <v>112</v>
      </c>
      <c r="C191" s="161">
        <v>44440</v>
      </c>
      <c r="D191" s="162">
        <v>44469</v>
      </c>
      <c r="E191" s="35">
        <v>0</v>
      </c>
      <c r="F191" s="35">
        <v>0</v>
      </c>
      <c r="G191" s="147">
        <v>2320</v>
      </c>
      <c r="H191" s="144">
        <v>0</v>
      </c>
      <c r="I191" s="144">
        <v>0</v>
      </c>
      <c r="J191" s="35">
        <v>0</v>
      </c>
      <c r="K191" s="35">
        <v>47792</v>
      </c>
      <c r="L191" s="35">
        <f>38018+121</f>
        <v>38139</v>
      </c>
      <c r="M191" s="35">
        <v>0</v>
      </c>
      <c r="N191" s="35">
        <v>3550</v>
      </c>
      <c r="O191" s="35">
        <v>0</v>
      </c>
      <c r="P191" s="35">
        <v>720</v>
      </c>
      <c r="Q191" s="147">
        <f t="shared" si="144"/>
        <v>90201</v>
      </c>
      <c r="R191" s="36">
        <f t="shared" si="137"/>
        <v>38.879741379310346</v>
      </c>
      <c r="S191" s="36">
        <f t="shared" si="138"/>
        <v>20.6</v>
      </c>
      <c r="T191" s="36">
        <f t="shared" si="139"/>
        <v>16.439224137931035</v>
      </c>
      <c r="U191" s="36">
        <f t="shared" si="140"/>
        <v>1.5301724137931034</v>
      </c>
      <c r="V191" s="36">
        <f t="shared" si="141"/>
        <v>0</v>
      </c>
      <c r="W191" s="36">
        <f t="shared" si="142"/>
        <v>0.31034482758620691</v>
      </c>
    </row>
    <row r="192" spans="1:23" x14ac:dyDescent="0.2">
      <c r="A192" s="369"/>
      <c r="B192" s="33" t="s">
        <v>113</v>
      </c>
      <c r="C192" s="161">
        <v>44470</v>
      </c>
      <c r="D192" s="162">
        <v>44500</v>
      </c>
      <c r="E192" s="35">
        <v>0</v>
      </c>
      <c r="F192" s="35">
        <v>0</v>
      </c>
      <c r="G192" s="147">
        <v>2320</v>
      </c>
      <c r="H192" s="144">
        <v>0</v>
      </c>
      <c r="I192" s="144">
        <v>0</v>
      </c>
      <c r="J192" s="35">
        <v>0</v>
      </c>
      <c r="K192" s="35">
        <v>47792</v>
      </c>
      <c r="L192" s="35">
        <v>38139</v>
      </c>
      <c r="M192" s="35">
        <v>0</v>
      </c>
      <c r="N192" s="35">
        <v>3550</v>
      </c>
      <c r="O192" s="35">
        <v>0</v>
      </c>
      <c r="P192" s="35">
        <f>720+626</f>
        <v>1346</v>
      </c>
      <c r="Q192" s="147">
        <f t="shared" si="144"/>
        <v>90827</v>
      </c>
      <c r="R192" s="36">
        <f t="shared" ref="R192:R194" si="151">+Q192/G192</f>
        <v>39.14956896551724</v>
      </c>
      <c r="S192" s="36">
        <f t="shared" ref="S192:S194" si="152">+K192/G192</f>
        <v>20.6</v>
      </c>
      <c r="T192" s="36">
        <f t="shared" ref="T192:T194" si="153">+L192/G192</f>
        <v>16.439224137931035</v>
      </c>
      <c r="U192" s="36">
        <f t="shared" ref="U192:U194" si="154">+N192/G192</f>
        <v>1.5301724137931034</v>
      </c>
      <c r="V192" s="36">
        <f t="shared" ref="V192:V194" si="155">+O192/G192</f>
        <v>0</v>
      </c>
      <c r="W192" s="36">
        <f t="shared" ref="W192:W194" si="156">+P192/G192</f>
        <v>0.58017241379310347</v>
      </c>
    </row>
    <row r="193" spans="1:23" x14ac:dyDescent="0.2">
      <c r="A193" s="369"/>
      <c r="B193" s="33" t="s">
        <v>114</v>
      </c>
      <c r="C193" s="161">
        <v>44501</v>
      </c>
      <c r="D193" s="162">
        <v>44530</v>
      </c>
      <c r="E193" s="35">
        <v>0</v>
      </c>
      <c r="F193" s="35">
        <v>0</v>
      </c>
      <c r="G193" s="147">
        <v>2320</v>
      </c>
      <c r="H193" s="144">
        <v>0</v>
      </c>
      <c r="I193" s="144">
        <v>0</v>
      </c>
      <c r="J193" s="35">
        <v>0</v>
      </c>
      <c r="K193" s="35">
        <v>47792</v>
      </c>
      <c r="L193" s="35">
        <v>38139</v>
      </c>
      <c r="M193" s="35">
        <v>0</v>
      </c>
      <c r="N193" s="35">
        <v>3550</v>
      </c>
      <c r="O193" s="35">
        <v>0</v>
      </c>
      <c r="P193" s="35">
        <f>720+626</f>
        <v>1346</v>
      </c>
      <c r="Q193" s="147">
        <f t="shared" si="144"/>
        <v>90827</v>
      </c>
      <c r="R193" s="36">
        <f t="shared" si="151"/>
        <v>39.14956896551724</v>
      </c>
      <c r="S193" s="36">
        <f t="shared" si="152"/>
        <v>20.6</v>
      </c>
      <c r="T193" s="36">
        <f t="shared" si="153"/>
        <v>16.439224137931035</v>
      </c>
      <c r="U193" s="36">
        <f t="shared" si="154"/>
        <v>1.5301724137931034</v>
      </c>
      <c r="V193" s="36">
        <f t="shared" si="155"/>
        <v>0</v>
      </c>
      <c r="W193" s="36">
        <f t="shared" si="156"/>
        <v>0.58017241379310347</v>
      </c>
    </row>
    <row r="194" spans="1:23" x14ac:dyDescent="0.2">
      <c r="A194" s="369"/>
      <c r="B194" s="33" t="s">
        <v>349</v>
      </c>
      <c r="C194" s="161">
        <v>44531</v>
      </c>
      <c r="D194" s="162">
        <v>44561</v>
      </c>
      <c r="E194" s="35">
        <v>0</v>
      </c>
      <c r="F194" s="35">
        <v>0</v>
      </c>
      <c r="G194" s="147">
        <v>2320</v>
      </c>
      <c r="H194" s="144">
        <v>0</v>
      </c>
      <c r="I194" s="144">
        <v>0</v>
      </c>
      <c r="J194" s="35">
        <v>0</v>
      </c>
      <c r="K194" s="35">
        <v>47792</v>
      </c>
      <c r="L194" s="35">
        <v>38139</v>
      </c>
      <c r="M194" s="35">
        <v>0</v>
      </c>
      <c r="N194" s="35">
        <v>3550</v>
      </c>
      <c r="O194" s="35">
        <v>0</v>
      </c>
      <c r="P194" s="35">
        <f>720+626</f>
        <v>1346</v>
      </c>
      <c r="Q194" s="147">
        <f t="shared" si="144"/>
        <v>90827</v>
      </c>
      <c r="R194" s="36">
        <f t="shared" si="151"/>
        <v>39.14956896551724</v>
      </c>
      <c r="S194" s="36">
        <f t="shared" si="152"/>
        <v>20.6</v>
      </c>
      <c r="T194" s="36">
        <f t="shared" si="153"/>
        <v>16.439224137931035</v>
      </c>
      <c r="U194" s="36">
        <f t="shared" si="154"/>
        <v>1.5301724137931034</v>
      </c>
      <c r="V194" s="36">
        <f t="shared" si="155"/>
        <v>0</v>
      </c>
      <c r="W194" s="36">
        <f t="shared" si="156"/>
        <v>0.58017241379310347</v>
      </c>
    </row>
    <row r="195" spans="1:23" x14ac:dyDescent="0.2">
      <c r="A195" s="369"/>
      <c r="B195" s="138" t="s">
        <v>440</v>
      </c>
      <c r="C195" s="159">
        <v>44398</v>
      </c>
      <c r="D195" s="160">
        <v>44561</v>
      </c>
      <c r="E195" s="165">
        <v>0</v>
      </c>
      <c r="F195" s="165">
        <v>0</v>
      </c>
      <c r="G195" s="147">
        <f>5572+1301</f>
        <v>6873</v>
      </c>
      <c r="H195" s="165">
        <v>0</v>
      </c>
      <c r="I195" s="165">
        <v>0</v>
      </c>
      <c r="J195" s="165">
        <v>0</v>
      </c>
      <c r="K195" s="165">
        <f>114779+20.6*1301</f>
        <v>141579.6</v>
      </c>
      <c r="L195" s="165">
        <f>91305+16.42*1301</f>
        <v>112667.42</v>
      </c>
      <c r="M195" s="165">
        <v>0</v>
      </c>
      <c r="N195" s="165">
        <f>8078+445+1.53*1301</f>
        <v>10513.53</v>
      </c>
      <c r="O195" s="165">
        <v>6</v>
      </c>
      <c r="P195" s="165">
        <f>1731+1125+0.3105*1301</f>
        <v>3259.9605000000001</v>
      </c>
      <c r="Q195" s="147">
        <f t="shared" si="144"/>
        <v>268026.51049999997</v>
      </c>
      <c r="R195" s="36">
        <f t="shared" ref="R195" si="157">+Q195/G195</f>
        <v>38.997018841844898</v>
      </c>
      <c r="S195" s="36">
        <f t="shared" ref="S195" si="158">+K195/G195</f>
        <v>20.59938891313837</v>
      </c>
      <c r="T195" s="36">
        <f t="shared" ref="T195" si="159">+L195/G195</f>
        <v>16.392757165720937</v>
      </c>
      <c r="U195" s="36">
        <f t="shared" ref="U195" si="160">+N195/G195</f>
        <v>1.5296857267568749</v>
      </c>
      <c r="V195" s="36">
        <f t="shared" ref="V195" si="161">+O195/G195</f>
        <v>8.7298123090353555E-4</v>
      </c>
      <c r="W195" s="36">
        <f t="shared" ref="W195" si="162">+P195/G195</f>
        <v>0.47431405499781759</v>
      </c>
    </row>
    <row r="196" spans="1:23" ht="15" thickBot="1" x14ac:dyDescent="0.25">
      <c r="A196" s="369"/>
      <c r="B196" s="138" t="s">
        <v>103</v>
      </c>
      <c r="C196" s="159">
        <v>44197</v>
      </c>
      <c r="D196" s="160">
        <v>44397</v>
      </c>
      <c r="E196" s="165">
        <v>0</v>
      </c>
      <c r="F196" s="165">
        <v>0</v>
      </c>
      <c r="G196" s="194">
        <v>7952</v>
      </c>
      <c r="H196" s="165">
        <v>0</v>
      </c>
      <c r="I196" s="165">
        <v>0</v>
      </c>
      <c r="J196" s="165">
        <f t="shared" si="143"/>
        <v>0</v>
      </c>
      <c r="K196" s="165">
        <f>20.6*G196</f>
        <v>163811.20000000001</v>
      </c>
      <c r="L196" s="165">
        <f>16.42*G196</f>
        <v>130571.84000000001</v>
      </c>
      <c r="M196" s="165">
        <v>0</v>
      </c>
      <c r="N196" s="165">
        <f>6066+1738</f>
        <v>7804</v>
      </c>
      <c r="O196" s="165">
        <f>2.11*G196</f>
        <v>16778.719999999998</v>
      </c>
      <c r="P196" s="165">
        <v>2469</v>
      </c>
      <c r="Q196" s="194">
        <f t="shared" ref="Q196" si="163">+P196+O196+N196+M196+L196+K196</f>
        <v>321434.76</v>
      </c>
      <c r="R196" s="166">
        <f t="shared" si="137"/>
        <v>40.421876257545271</v>
      </c>
      <c r="S196" s="166">
        <f t="shared" si="138"/>
        <v>20.6</v>
      </c>
      <c r="T196" s="166">
        <f t="shared" si="139"/>
        <v>16.420000000000002</v>
      </c>
      <c r="U196" s="166">
        <f t="shared" si="140"/>
        <v>0.98138832997987924</v>
      </c>
      <c r="V196" s="166">
        <f t="shared" si="141"/>
        <v>2.11</v>
      </c>
      <c r="W196" s="166">
        <f t="shared" si="142"/>
        <v>0.31048792756539234</v>
      </c>
    </row>
    <row r="197" spans="1:23" ht="27" customHeight="1" thickTop="1" thickBot="1" x14ac:dyDescent="0.25">
      <c r="A197" s="361" t="s">
        <v>6</v>
      </c>
      <c r="B197" s="362"/>
      <c r="C197" s="362"/>
      <c r="D197" s="363"/>
      <c r="E197" s="40"/>
      <c r="F197" s="40"/>
      <c r="G197" s="40">
        <f>SUM(G190:G196)</f>
        <v>27772</v>
      </c>
      <c r="H197" s="40">
        <f t="shared" ref="H197:Q197" si="164">SUM(H190:H196)</f>
        <v>0</v>
      </c>
      <c r="I197" s="40">
        <f t="shared" si="164"/>
        <v>0</v>
      </c>
      <c r="J197" s="40">
        <f t="shared" si="164"/>
        <v>0</v>
      </c>
      <c r="K197" s="40">
        <f t="shared" si="164"/>
        <v>572098.80000000005</v>
      </c>
      <c r="L197" s="40">
        <f t="shared" si="164"/>
        <v>456007.26</v>
      </c>
      <c r="M197" s="40">
        <f t="shared" si="164"/>
        <v>0</v>
      </c>
      <c r="N197" s="40">
        <f t="shared" si="164"/>
        <v>38127.53</v>
      </c>
      <c r="O197" s="40">
        <f t="shared" si="164"/>
        <v>16784.719999999998</v>
      </c>
      <c r="P197" s="40">
        <f t="shared" si="164"/>
        <v>11625.960500000001</v>
      </c>
      <c r="Q197" s="40">
        <f t="shared" si="164"/>
        <v>1094644.2705000001</v>
      </c>
      <c r="R197" s="41">
        <f t="shared" si="137"/>
        <v>39.415392139565036</v>
      </c>
      <c r="S197" s="41">
        <f t="shared" si="138"/>
        <v>20.599841567045946</v>
      </c>
      <c r="T197" s="41">
        <f t="shared" si="139"/>
        <v>16.419676652743771</v>
      </c>
      <c r="U197" s="41">
        <f t="shared" si="140"/>
        <v>1.3728766383407749</v>
      </c>
      <c r="V197" s="41">
        <f t="shared" si="141"/>
        <v>0.60437563013106721</v>
      </c>
      <c r="W197" s="41">
        <f t="shared" si="142"/>
        <v>0.41862165130347118</v>
      </c>
    </row>
    <row r="198" spans="1:23" ht="15.75" thickTop="1" x14ac:dyDescent="0.25">
      <c r="A198" s="47" t="s">
        <v>86</v>
      </c>
      <c r="B198" s="382" t="s">
        <v>140</v>
      </c>
      <c r="C198" s="382"/>
      <c r="D198" s="382"/>
      <c r="E198" s="382"/>
      <c r="F198" s="382"/>
      <c r="G198" s="381" t="s">
        <v>87</v>
      </c>
      <c r="H198" s="381"/>
      <c r="I198" s="380" t="s">
        <v>141</v>
      </c>
      <c r="J198" s="380"/>
      <c r="K198" s="62" t="s">
        <v>100</v>
      </c>
      <c r="L198" s="381" t="s">
        <v>138</v>
      </c>
      <c r="M198" s="381"/>
      <c r="N198" s="381"/>
      <c r="O198" s="381"/>
      <c r="P198" s="67"/>
      <c r="Q198" s="67" t="s">
        <v>92</v>
      </c>
      <c r="S198" s="380" t="s">
        <v>142</v>
      </c>
      <c r="T198" s="380"/>
    </row>
    <row r="199" spans="1:23" x14ac:dyDescent="0.2">
      <c r="M199" s="25" t="s">
        <v>384</v>
      </c>
      <c r="N199" s="25">
        <v>45961</v>
      </c>
      <c r="Q199" s="53"/>
    </row>
    <row r="200" spans="1:23" ht="15" thickBot="1" x14ac:dyDescent="0.25"/>
    <row r="201" spans="1:23" ht="53.25" customHeight="1" thickTop="1" thickBot="1" x14ac:dyDescent="0.25">
      <c r="A201" s="384" t="s">
        <v>64</v>
      </c>
      <c r="B201" s="364" t="s">
        <v>0</v>
      </c>
      <c r="C201" s="360" t="s">
        <v>5</v>
      </c>
      <c r="D201" s="360"/>
      <c r="E201" s="360" t="s">
        <v>29</v>
      </c>
      <c r="F201" s="360" t="s">
        <v>30</v>
      </c>
      <c r="G201" s="364" t="s">
        <v>311</v>
      </c>
      <c r="H201" s="357" t="s">
        <v>313</v>
      </c>
      <c r="I201" s="358"/>
      <c r="J201" s="359"/>
      <c r="K201" s="357" t="s">
        <v>312</v>
      </c>
      <c r="L201" s="358"/>
      <c r="M201" s="358"/>
      <c r="N201" s="358"/>
      <c r="O201" s="358"/>
      <c r="P201" s="358"/>
      <c r="Q201" s="359"/>
      <c r="R201" s="357" t="s">
        <v>31</v>
      </c>
      <c r="S201" s="358"/>
      <c r="T201" s="358"/>
      <c r="U201" s="358"/>
      <c r="V201" s="358"/>
      <c r="W201" s="359"/>
    </row>
    <row r="202" spans="1:23" ht="105" customHeight="1" thickTop="1" thickBot="1" x14ac:dyDescent="0.25">
      <c r="A202" s="385"/>
      <c r="B202" s="365"/>
      <c r="C202" s="60" t="s">
        <v>3</v>
      </c>
      <c r="D202" s="60" t="s">
        <v>4</v>
      </c>
      <c r="E202" s="360"/>
      <c r="F202" s="360"/>
      <c r="G202" s="365"/>
      <c r="H202" s="60" t="s">
        <v>17</v>
      </c>
      <c r="I202" s="60" t="s">
        <v>68</v>
      </c>
      <c r="J202" s="60" t="s">
        <v>6</v>
      </c>
      <c r="K202" s="60" t="s">
        <v>9</v>
      </c>
      <c r="L202" s="60" t="s">
        <v>10</v>
      </c>
      <c r="M202" s="60" t="s">
        <v>12</v>
      </c>
      <c r="N202" s="60" t="s">
        <v>24</v>
      </c>
      <c r="O202" s="60" t="s">
        <v>25</v>
      </c>
      <c r="P202" s="60" t="s">
        <v>436</v>
      </c>
      <c r="Q202" s="60" t="s">
        <v>23</v>
      </c>
      <c r="R202" s="61" t="s">
        <v>6</v>
      </c>
      <c r="S202" s="61" t="s">
        <v>22</v>
      </c>
      <c r="T202" s="61" t="s">
        <v>20</v>
      </c>
      <c r="U202" s="61" t="s">
        <v>32</v>
      </c>
      <c r="V202" s="61" t="s">
        <v>33</v>
      </c>
      <c r="W202" s="61" t="s">
        <v>386</v>
      </c>
    </row>
    <row r="203" spans="1:23" ht="43.5" customHeight="1" thickTop="1" x14ac:dyDescent="0.2">
      <c r="A203" s="368" t="s">
        <v>79</v>
      </c>
      <c r="B203" s="76" t="s">
        <v>143</v>
      </c>
      <c r="C203" s="77">
        <v>44197</v>
      </c>
      <c r="D203" s="78">
        <v>44561</v>
      </c>
      <c r="E203" s="79">
        <f>+E16+E33</f>
        <v>124</v>
      </c>
      <c r="F203" s="79" t="s">
        <v>28</v>
      </c>
      <c r="G203" s="163">
        <f t="shared" ref="G203:Q203" si="165">+G16+G33</f>
        <v>168941</v>
      </c>
      <c r="H203" s="79">
        <f t="shared" si="165"/>
        <v>25693</v>
      </c>
      <c r="I203" s="79">
        <f t="shared" si="165"/>
        <v>1352</v>
      </c>
      <c r="J203" s="80">
        <f t="shared" si="165"/>
        <v>27045</v>
      </c>
      <c r="K203" s="80">
        <f t="shared" si="165"/>
        <v>3480178</v>
      </c>
      <c r="L203" s="80">
        <f t="shared" si="165"/>
        <v>2601535</v>
      </c>
      <c r="M203" s="80">
        <f t="shared" si="165"/>
        <v>111538</v>
      </c>
      <c r="N203" s="80">
        <f t="shared" si="165"/>
        <v>204902</v>
      </c>
      <c r="O203" s="80">
        <f t="shared" si="165"/>
        <v>200115</v>
      </c>
      <c r="P203" s="80">
        <f t="shared" si="165"/>
        <v>65493</v>
      </c>
      <c r="Q203" s="163">
        <f t="shared" si="165"/>
        <v>6663761</v>
      </c>
      <c r="R203" s="81">
        <f>+Q203/G203</f>
        <v>39.444308959932755</v>
      </c>
      <c r="S203" s="81">
        <f>+K203/G203</f>
        <v>20.599960933106825</v>
      </c>
      <c r="T203" s="81">
        <f>+L203/G203</f>
        <v>15.399074233016259</v>
      </c>
      <c r="U203" s="81">
        <f>+N203/G203</f>
        <v>1.2128612947715474</v>
      </c>
      <c r="V203" s="81">
        <f>+O203/G203</f>
        <v>1.1845259587666701</v>
      </c>
      <c r="W203" s="81">
        <f>+P203/G203</f>
        <v>0.38766788405419644</v>
      </c>
    </row>
    <row r="204" spans="1:23" ht="43.5" customHeight="1" x14ac:dyDescent="0.2">
      <c r="A204" s="369"/>
      <c r="B204" s="82" t="s">
        <v>145</v>
      </c>
      <c r="C204" s="83">
        <v>44197</v>
      </c>
      <c r="D204" s="84">
        <v>44561</v>
      </c>
      <c r="E204" s="85" t="s">
        <v>28</v>
      </c>
      <c r="F204" s="85" t="s">
        <v>28</v>
      </c>
      <c r="G204" s="164">
        <f t="shared" ref="G204:Q204" si="166">+G178+G160+G142+G124+G106+G88+G70+G52+G197</f>
        <v>220745</v>
      </c>
      <c r="H204" s="85">
        <f t="shared" si="166"/>
        <v>0</v>
      </c>
      <c r="I204" s="85">
        <f t="shared" si="166"/>
        <v>0</v>
      </c>
      <c r="J204" s="86">
        <f t="shared" si="166"/>
        <v>0</v>
      </c>
      <c r="K204" s="86">
        <f t="shared" si="166"/>
        <v>4547354.5999999996</v>
      </c>
      <c r="L204" s="86">
        <f t="shared" si="166"/>
        <v>3600835.6952</v>
      </c>
      <c r="M204" s="86">
        <f t="shared" si="166"/>
        <v>0</v>
      </c>
      <c r="N204" s="86">
        <f t="shared" si="166"/>
        <v>268487.35000000003</v>
      </c>
      <c r="O204" s="86">
        <f t="shared" si="166"/>
        <v>259175.72</v>
      </c>
      <c r="P204" s="86">
        <f t="shared" si="166"/>
        <v>83572.33</v>
      </c>
      <c r="Q204" s="164">
        <f t="shared" si="166"/>
        <v>8759425.6952</v>
      </c>
      <c r="R204" s="87">
        <f>+Q204/G204</f>
        <v>39.681196381344989</v>
      </c>
      <c r="S204" s="87">
        <f>+K204/G204</f>
        <v>20.600034428865886</v>
      </c>
      <c r="T204" s="87">
        <f>+L204/G204</f>
        <v>16.312195950984169</v>
      </c>
      <c r="U204" s="87">
        <f>+N204/G204</f>
        <v>1.2162782848988654</v>
      </c>
      <c r="V204" s="87">
        <f>+O204/G204</f>
        <v>1.1740955401028337</v>
      </c>
      <c r="W204" s="87">
        <f>+P204/G204</f>
        <v>0.37859217649323879</v>
      </c>
    </row>
    <row r="205" spans="1:23" ht="45" customHeight="1" thickBot="1" x14ac:dyDescent="0.25">
      <c r="A205" s="383"/>
      <c r="B205" s="195" t="s">
        <v>144</v>
      </c>
      <c r="C205" s="196">
        <v>44197</v>
      </c>
      <c r="D205" s="197">
        <v>44561</v>
      </c>
      <c r="E205" s="198" t="s">
        <v>28</v>
      </c>
      <c r="F205" s="198" t="s">
        <v>28</v>
      </c>
      <c r="G205" s="291">
        <v>0</v>
      </c>
      <c r="H205" s="198">
        <f>+H196</f>
        <v>0</v>
      </c>
      <c r="I205" s="198">
        <f>+I196</f>
        <v>0</v>
      </c>
      <c r="J205" s="198">
        <f>+J196</f>
        <v>0</v>
      </c>
      <c r="K205" s="198">
        <v>0</v>
      </c>
      <c r="L205" s="198">
        <v>0</v>
      </c>
      <c r="M205" s="198">
        <f>+M196</f>
        <v>0</v>
      </c>
      <c r="N205" s="198">
        <v>0</v>
      </c>
      <c r="O205" s="198">
        <v>0</v>
      </c>
      <c r="P205" s="198">
        <v>0</v>
      </c>
      <c r="Q205" s="291">
        <v>0</v>
      </c>
      <c r="R205" s="199" t="e">
        <f>+Q205/G205</f>
        <v>#DIV/0!</v>
      </c>
      <c r="S205" s="199" t="e">
        <f>+K205/G205</f>
        <v>#DIV/0!</v>
      </c>
      <c r="T205" s="199" t="e">
        <f>+L205/G205</f>
        <v>#DIV/0!</v>
      </c>
      <c r="U205" s="199" t="e">
        <f>+N205/G205</f>
        <v>#DIV/0!</v>
      </c>
      <c r="V205" s="199" t="e">
        <f>+O205/G205</f>
        <v>#DIV/0!</v>
      </c>
      <c r="W205" s="199" t="e">
        <f>+P205/G205</f>
        <v>#DIV/0!</v>
      </c>
    </row>
    <row r="206" spans="1:23" ht="27" customHeight="1" thickTop="1" thickBot="1" x14ac:dyDescent="0.25">
      <c r="A206" s="361" t="s">
        <v>79</v>
      </c>
      <c r="B206" s="362"/>
      <c r="C206" s="362"/>
      <c r="D206" s="363"/>
      <c r="E206" s="40">
        <f>SUM(E203:E205)</f>
        <v>124</v>
      </c>
      <c r="F206" s="40" t="s">
        <v>28</v>
      </c>
      <c r="G206" s="40">
        <f>SUM(G203:G205)</f>
        <v>389686</v>
      </c>
      <c r="H206" s="40">
        <f t="shared" ref="H206:Q206" si="167">SUM(H203:H205)</f>
        <v>25693</v>
      </c>
      <c r="I206" s="40">
        <f t="shared" si="167"/>
        <v>1352</v>
      </c>
      <c r="J206" s="40">
        <f t="shared" si="167"/>
        <v>27045</v>
      </c>
      <c r="K206" s="40">
        <f t="shared" si="167"/>
        <v>8027532.5999999996</v>
      </c>
      <c r="L206" s="40">
        <f t="shared" si="167"/>
        <v>6202370.6952</v>
      </c>
      <c r="M206" s="40">
        <f t="shared" si="167"/>
        <v>111538</v>
      </c>
      <c r="N206" s="40">
        <f t="shared" si="167"/>
        <v>473389.35000000003</v>
      </c>
      <c r="O206" s="40">
        <f t="shared" si="167"/>
        <v>459290.72</v>
      </c>
      <c r="P206" s="40">
        <f t="shared" si="167"/>
        <v>149065.33000000002</v>
      </c>
      <c r="Q206" s="40">
        <f t="shared" si="167"/>
        <v>15423186.6952</v>
      </c>
      <c r="R206" s="41">
        <f>+Q206/G206</f>
        <v>39.578498317106593</v>
      </c>
      <c r="S206" s="41">
        <f>+K206/G206</f>
        <v>20.600002566168659</v>
      </c>
      <c r="T206" s="41">
        <f>+L206/G206</f>
        <v>15.91632928870937</v>
      </c>
      <c r="U206" s="41">
        <f>+N206/G206</f>
        <v>1.2147969134123373</v>
      </c>
      <c r="V206" s="41">
        <f>+O206/G206</f>
        <v>1.1786174509733478</v>
      </c>
      <c r="W206" s="41">
        <f>+P206/G206</f>
        <v>0.38252677796995532</v>
      </c>
    </row>
    <row r="207" spans="1:23" ht="15" thickTop="1" x14ac:dyDescent="0.2"/>
    <row r="208" spans="1:23" ht="15" thickBot="1" x14ac:dyDescent="0.25"/>
    <row r="209" spans="1:23" ht="39" customHeight="1" thickTop="1" thickBot="1" x14ac:dyDescent="0.25">
      <c r="A209" s="392" t="s">
        <v>64</v>
      </c>
      <c r="B209" s="376" t="s">
        <v>0</v>
      </c>
      <c r="C209" s="375" t="s">
        <v>5</v>
      </c>
      <c r="D209" s="375"/>
      <c r="E209" s="375" t="s">
        <v>29</v>
      </c>
      <c r="F209" s="375" t="s">
        <v>30</v>
      </c>
      <c r="G209" s="376" t="s">
        <v>7</v>
      </c>
      <c r="H209" s="372" t="s">
        <v>8</v>
      </c>
      <c r="I209" s="373"/>
      <c r="J209" s="374"/>
      <c r="K209" s="372" t="s">
        <v>11</v>
      </c>
      <c r="L209" s="373"/>
      <c r="M209" s="373"/>
      <c r="N209" s="373"/>
      <c r="O209" s="373"/>
      <c r="P209" s="373"/>
      <c r="Q209" s="374"/>
      <c r="R209" s="372" t="s">
        <v>31</v>
      </c>
      <c r="S209" s="373"/>
      <c r="T209" s="373"/>
      <c r="U209" s="373"/>
      <c r="V209" s="373"/>
      <c r="W209" s="374"/>
    </row>
    <row r="210" spans="1:23" ht="61.5" thickTop="1" thickBot="1" x14ac:dyDescent="0.25">
      <c r="A210" s="393"/>
      <c r="B210" s="377"/>
      <c r="C210" s="220" t="s">
        <v>3</v>
      </c>
      <c r="D210" s="220" t="s">
        <v>4</v>
      </c>
      <c r="E210" s="375"/>
      <c r="F210" s="375"/>
      <c r="G210" s="377"/>
      <c r="H210" s="220" t="s">
        <v>17</v>
      </c>
      <c r="I210" s="220" t="s">
        <v>89</v>
      </c>
      <c r="J210" s="220" t="s">
        <v>6</v>
      </c>
      <c r="K210" s="220" t="s">
        <v>9</v>
      </c>
      <c r="L210" s="220" t="s">
        <v>10</v>
      </c>
      <c r="M210" s="220" t="s">
        <v>12</v>
      </c>
      <c r="N210" s="220" t="s">
        <v>24</v>
      </c>
      <c r="O210" s="220" t="s">
        <v>25</v>
      </c>
      <c r="P210" s="220" t="s">
        <v>436</v>
      </c>
      <c r="Q210" s="220" t="s">
        <v>23</v>
      </c>
      <c r="R210" s="222" t="s">
        <v>6</v>
      </c>
      <c r="S210" s="222" t="s">
        <v>22</v>
      </c>
      <c r="T210" s="222" t="s">
        <v>20</v>
      </c>
      <c r="U210" s="222" t="s">
        <v>32</v>
      </c>
      <c r="V210" s="222" t="s">
        <v>33</v>
      </c>
      <c r="W210" s="222" t="s">
        <v>386</v>
      </c>
    </row>
    <row r="211" spans="1:23" ht="15" thickTop="1" x14ac:dyDescent="0.2">
      <c r="A211" s="368" t="s">
        <v>343</v>
      </c>
      <c r="B211" s="29">
        <v>1</v>
      </c>
      <c r="C211" s="388" t="s">
        <v>406</v>
      </c>
      <c r="D211" s="389"/>
      <c r="E211" s="31" t="s">
        <v>28</v>
      </c>
      <c r="F211" s="31" t="s">
        <v>28</v>
      </c>
      <c r="G211" s="223">
        <f t="shared" ref="G211:Q211" si="168">+G4+G21+G204/12</f>
        <v>34366.416666666672</v>
      </c>
      <c r="H211" s="31">
        <f t="shared" si="168"/>
        <v>0</v>
      </c>
      <c r="I211" s="31">
        <f t="shared" si="168"/>
        <v>0</v>
      </c>
      <c r="J211" s="31">
        <f t="shared" si="168"/>
        <v>0</v>
      </c>
      <c r="K211" s="31">
        <f t="shared" si="168"/>
        <v>707938.21666666656</v>
      </c>
      <c r="L211" s="31">
        <f t="shared" si="168"/>
        <v>521131.64126666664</v>
      </c>
      <c r="M211" s="31">
        <f t="shared" si="168"/>
        <v>0</v>
      </c>
      <c r="N211" s="31">
        <f t="shared" si="168"/>
        <v>36588.945833333331</v>
      </c>
      <c r="O211" s="31">
        <f t="shared" si="168"/>
        <v>45233.976666666669</v>
      </c>
      <c r="P211" s="31">
        <f t="shared" si="168"/>
        <v>11923.360833333332</v>
      </c>
      <c r="Q211" s="223">
        <f t="shared" si="168"/>
        <v>1322816.1412666668</v>
      </c>
      <c r="R211" s="32">
        <f>+Q211/G211</f>
        <v>38.491535329306465</v>
      </c>
      <c r="S211" s="32">
        <f>+K211/G211</f>
        <v>20.599709988190984</v>
      </c>
      <c r="T211" s="32">
        <f>+L211/G211</f>
        <v>15.163979600239573</v>
      </c>
      <c r="U211" s="32">
        <f>+N211/G211</f>
        <v>1.0646715422275135</v>
      </c>
      <c r="V211" s="32">
        <f>+O211/G211</f>
        <v>1.3162261607140691</v>
      </c>
      <c r="W211" s="32">
        <f>+P211/G211</f>
        <v>0.3469480379343205</v>
      </c>
    </row>
    <row r="212" spans="1:23" x14ac:dyDescent="0.2">
      <c r="A212" s="369"/>
      <c r="B212" s="33">
        <v>2</v>
      </c>
      <c r="C212" s="390" t="s">
        <v>411</v>
      </c>
      <c r="D212" s="391"/>
      <c r="E212" s="35" t="s">
        <v>28</v>
      </c>
      <c r="F212" s="35" t="s">
        <v>28</v>
      </c>
      <c r="G212" s="224">
        <f t="shared" ref="G212:Q212" si="169">+G5+G22+G204/12</f>
        <v>33593.416666666672</v>
      </c>
      <c r="H212" s="35">
        <f t="shared" si="169"/>
        <v>1831</v>
      </c>
      <c r="I212" s="35">
        <f t="shared" si="169"/>
        <v>383</v>
      </c>
      <c r="J212" s="35">
        <f t="shared" si="169"/>
        <v>2214</v>
      </c>
      <c r="K212" s="35">
        <f t="shared" si="169"/>
        <v>692015.21666666656</v>
      </c>
      <c r="L212" s="35">
        <f t="shared" si="169"/>
        <v>515019.64126666664</v>
      </c>
      <c r="M212" s="35">
        <f t="shared" si="169"/>
        <v>8458</v>
      </c>
      <c r="N212" s="35">
        <f t="shared" si="169"/>
        <v>35899.945833333331</v>
      </c>
      <c r="O212" s="35">
        <f t="shared" si="169"/>
        <v>57159.976666666669</v>
      </c>
      <c r="P212" s="35">
        <f t="shared" si="169"/>
        <v>11682.360833333332</v>
      </c>
      <c r="Q212" s="224">
        <f t="shared" si="169"/>
        <v>1320235.1412666668</v>
      </c>
      <c r="R212" s="36">
        <f t="shared" ref="R212:R223" si="170">+Q212/G212</f>
        <v>39.300412767382497</v>
      </c>
      <c r="S212" s="36">
        <f t="shared" ref="S212:S223" si="171">+K212/G212</f>
        <v>20.599727129075383</v>
      </c>
      <c r="T212" s="36">
        <f t="shared" ref="T212:T223" si="172">+L212/G212</f>
        <v>15.330969349649358</v>
      </c>
      <c r="U212" s="36">
        <f t="shared" ref="U212:U223" si="173">+N212/G212</f>
        <v>1.0686601541472658</v>
      </c>
      <c r="V212" s="36">
        <f t="shared" ref="V212:V223" si="174">+O212/G212</f>
        <v>1.7015231655011769</v>
      </c>
      <c r="W212" s="36">
        <f t="shared" ref="W212:W223" si="175">+P212/G212</f>
        <v>0.34775744751575821</v>
      </c>
    </row>
    <row r="213" spans="1:23" x14ac:dyDescent="0.2">
      <c r="A213" s="369"/>
      <c r="B213" s="33">
        <v>3</v>
      </c>
      <c r="C213" s="390" t="s">
        <v>412</v>
      </c>
      <c r="D213" s="391"/>
      <c r="E213" s="35" t="s">
        <v>28</v>
      </c>
      <c r="F213" s="35" t="s">
        <v>28</v>
      </c>
      <c r="G213" s="224">
        <f t="shared" ref="G213:Q213" si="176">+G6+G23+G204/12</f>
        <v>30828.416666666668</v>
      </c>
      <c r="H213" s="35">
        <f t="shared" si="176"/>
        <v>1679</v>
      </c>
      <c r="I213" s="35">
        <f t="shared" si="176"/>
        <v>0</v>
      </c>
      <c r="J213" s="35">
        <f t="shared" si="176"/>
        <v>1679</v>
      </c>
      <c r="K213" s="35">
        <f t="shared" si="176"/>
        <v>635082.21666666656</v>
      </c>
      <c r="L213" s="35">
        <f t="shared" si="176"/>
        <v>497002.64126666664</v>
      </c>
      <c r="M213" s="35">
        <f t="shared" si="176"/>
        <v>6414</v>
      </c>
      <c r="N213" s="35">
        <f t="shared" si="176"/>
        <v>33440.945833333331</v>
      </c>
      <c r="O213" s="35">
        <f t="shared" si="176"/>
        <v>59396.976666666669</v>
      </c>
      <c r="P213" s="35">
        <f t="shared" si="176"/>
        <v>10825.360833333332</v>
      </c>
      <c r="Q213" s="224">
        <f t="shared" si="176"/>
        <v>1242162.1412666668</v>
      </c>
      <c r="R213" s="36">
        <f t="shared" si="170"/>
        <v>40.292764779248586</v>
      </c>
      <c r="S213" s="36">
        <f t="shared" si="171"/>
        <v>20.600546033016069</v>
      </c>
      <c r="T213" s="36">
        <f t="shared" si="172"/>
        <v>16.121575319307674</v>
      </c>
      <c r="U213" s="36">
        <f t="shared" si="173"/>
        <v>1.0847441889382361</v>
      </c>
      <c r="V213" s="36">
        <f t="shared" si="174"/>
        <v>1.9266956622812828</v>
      </c>
      <c r="W213" s="36">
        <f t="shared" si="175"/>
        <v>0.35114877777807807</v>
      </c>
    </row>
    <row r="214" spans="1:23" x14ac:dyDescent="0.2">
      <c r="A214" s="369"/>
      <c r="B214" s="33">
        <v>4</v>
      </c>
      <c r="C214" s="390" t="s">
        <v>413</v>
      </c>
      <c r="D214" s="391"/>
      <c r="E214" s="35" t="s">
        <v>28</v>
      </c>
      <c r="F214" s="35" t="s">
        <v>28</v>
      </c>
      <c r="G214" s="224">
        <f t="shared" ref="G214:Q214" si="177">+G7+G24+G204/12</f>
        <v>29990.416666666668</v>
      </c>
      <c r="H214" s="35">
        <f t="shared" si="177"/>
        <v>1803</v>
      </c>
      <c r="I214" s="35">
        <f t="shared" si="177"/>
        <v>251</v>
      </c>
      <c r="J214" s="35">
        <f t="shared" si="177"/>
        <v>2054</v>
      </c>
      <c r="K214" s="35">
        <f t="shared" si="177"/>
        <v>617808.21666666656</v>
      </c>
      <c r="L214" s="35">
        <f t="shared" si="177"/>
        <v>502399.64126666664</v>
      </c>
      <c r="M214" s="35">
        <f t="shared" si="177"/>
        <v>7846</v>
      </c>
      <c r="N214" s="35">
        <f t="shared" si="177"/>
        <v>32693.945833333335</v>
      </c>
      <c r="O214" s="35">
        <f t="shared" si="177"/>
        <v>53715.976666666669</v>
      </c>
      <c r="P214" s="35">
        <f t="shared" si="177"/>
        <v>10564.360833333332</v>
      </c>
      <c r="Q214" s="224">
        <f t="shared" si="177"/>
        <v>1225028.1412666668</v>
      </c>
      <c r="R214" s="36">
        <f t="shared" si="170"/>
        <v>40.84731982494408</v>
      </c>
      <c r="S214" s="36">
        <f t="shared" si="171"/>
        <v>20.600187837781508</v>
      </c>
      <c r="T214" s="36">
        <f t="shared" si="172"/>
        <v>16.752006044152992</v>
      </c>
      <c r="U214" s="36">
        <f t="shared" si="173"/>
        <v>1.0901464356669492</v>
      </c>
      <c r="V214" s="36">
        <f t="shared" si="174"/>
        <v>1.7911047140058629</v>
      </c>
      <c r="W214" s="36">
        <f t="shared" si="175"/>
        <v>0.3522578879364241</v>
      </c>
    </row>
    <row r="215" spans="1:23" x14ac:dyDescent="0.2">
      <c r="A215" s="369"/>
      <c r="B215" s="33">
        <v>5</v>
      </c>
      <c r="C215" s="390" t="s">
        <v>414</v>
      </c>
      <c r="D215" s="391"/>
      <c r="E215" s="35" t="s">
        <v>28</v>
      </c>
      <c r="F215" s="35" t="s">
        <v>28</v>
      </c>
      <c r="G215" s="224">
        <f t="shared" ref="G215:Q215" si="178">+G8+G25+G204/12</f>
        <v>31789.416666666668</v>
      </c>
      <c r="H215" s="35">
        <f t="shared" si="178"/>
        <v>1890</v>
      </c>
      <c r="I215" s="35">
        <f t="shared" si="178"/>
        <v>203</v>
      </c>
      <c r="J215" s="35">
        <f t="shared" si="178"/>
        <v>2093</v>
      </c>
      <c r="K215" s="35">
        <f t="shared" si="178"/>
        <v>654861.21666666656</v>
      </c>
      <c r="L215" s="35">
        <f t="shared" si="178"/>
        <v>514534.64126666664</v>
      </c>
      <c r="M215" s="35">
        <f t="shared" si="178"/>
        <v>8810</v>
      </c>
      <c r="N215" s="35">
        <f t="shared" si="178"/>
        <v>34293.945833333331</v>
      </c>
      <c r="O215" s="35">
        <f t="shared" si="178"/>
        <v>64859.976666666669</v>
      </c>
      <c r="P215" s="35">
        <f t="shared" si="178"/>
        <v>11123.360833333332</v>
      </c>
      <c r="Q215" s="224">
        <f t="shared" si="178"/>
        <v>1288483.1412666668</v>
      </c>
      <c r="R215" s="36">
        <f t="shared" si="170"/>
        <v>40.531827141632569</v>
      </c>
      <c r="S215" s="36">
        <f t="shared" si="171"/>
        <v>20.599975882958947</v>
      </c>
      <c r="T215" s="36">
        <f t="shared" si="172"/>
        <v>16.185721388407565</v>
      </c>
      <c r="U215" s="36">
        <f t="shared" si="173"/>
        <v>1.0787849992004677</v>
      </c>
      <c r="V215" s="36">
        <f t="shared" si="174"/>
        <v>2.0403009387296085</v>
      </c>
      <c r="W215" s="36">
        <f t="shared" si="175"/>
        <v>0.34990767367546322</v>
      </c>
    </row>
    <row r="216" spans="1:23" x14ac:dyDescent="0.2">
      <c r="A216" s="369"/>
      <c r="B216" s="33">
        <v>6</v>
      </c>
      <c r="C216" s="390" t="s">
        <v>415</v>
      </c>
      <c r="D216" s="391"/>
      <c r="E216" s="35" t="s">
        <v>28</v>
      </c>
      <c r="F216" s="35" t="s">
        <v>28</v>
      </c>
      <c r="G216" s="224">
        <f t="shared" ref="G216:Q216" si="179">+G9+G26+G204/12</f>
        <v>33522.416666666672</v>
      </c>
      <c r="H216" s="35">
        <f t="shared" si="179"/>
        <v>1890</v>
      </c>
      <c r="I216" s="35">
        <f t="shared" si="179"/>
        <v>0</v>
      </c>
      <c r="J216" s="35">
        <f t="shared" si="179"/>
        <v>1890</v>
      </c>
      <c r="K216" s="35">
        <f t="shared" si="179"/>
        <v>690562.21666666656</v>
      </c>
      <c r="L216" s="35">
        <f t="shared" si="179"/>
        <v>529313.64126666659</v>
      </c>
      <c r="M216" s="35">
        <f t="shared" si="179"/>
        <v>7957</v>
      </c>
      <c r="N216" s="35">
        <f t="shared" si="179"/>
        <v>35836.945833333331</v>
      </c>
      <c r="O216" s="35">
        <f t="shared" si="179"/>
        <v>47313.976666666669</v>
      </c>
      <c r="P216" s="35">
        <f t="shared" si="179"/>
        <v>11661.360833333332</v>
      </c>
      <c r="Q216" s="224">
        <f t="shared" si="179"/>
        <v>1322645.1412666668</v>
      </c>
      <c r="R216" s="36">
        <f t="shared" si="170"/>
        <v>39.455542672191989</v>
      </c>
      <c r="S216" s="36">
        <f t="shared" si="171"/>
        <v>20.60001292667344</v>
      </c>
      <c r="T216" s="36">
        <f t="shared" si="172"/>
        <v>15.789841362869121</v>
      </c>
      <c r="U216" s="36">
        <f t="shared" si="173"/>
        <v>1.069044221652675</v>
      </c>
      <c r="V216" s="36">
        <f t="shared" si="174"/>
        <v>1.4114130594204375</v>
      </c>
      <c r="W216" s="36">
        <f t="shared" si="175"/>
        <v>0.34786754634336714</v>
      </c>
    </row>
    <row r="217" spans="1:23" x14ac:dyDescent="0.2">
      <c r="A217" s="369"/>
      <c r="B217" s="33">
        <v>7</v>
      </c>
      <c r="C217" s="390" t="s">
        <v>416</v>
      </c>
      <c r="D217" s="391"/>
      <c r="E217" s="35" t="s">
        <v>28</v>
      </c>
      <c r="F217" s="35" t="s">
        <v>28</v>
      </c>
      <c r="G217" s="224">
        <f t="shared" ref="G217:Q217" si="180">+G10+G27+G204/12</f>
        <v>28506.416666666668</v>
      </c>
      <c r="H217" s="35">
        <f t="shared" si="180"/>
        <v>1244</v>
      </c>
      <c r="I217" s="35">
        <f t="shared" si="180"/>
        <v>324</v>
      </c>
      <c r="J217" s="35">
        <f t="shared" si="180"/>
        <v>1568</v>
      </c>
      <c r="K217" s="35">
        <f t="shared" si="180"/>
        <v>587229.21666666656</v>
      </c>
      <c r="L217" s="35">
        <f t="shared" si="180"/>
        <v>491565.64126666664</v>
      </c>
      <c r="M217" s="35">
        <f t="shared" si="180"/>
        <v>6600</v>
      </c>
      <c r="N217" s="35">
        <f t="shared" si="180"/>
        <v>37843.945833333331</v>
      </c>
      <c r="O217" s="35">
        <f t="shared" si="180"/>
        <v>23619.976666666666</v>
      </c>
      <c r="P217" s="35">
        <f t="shared" si="180"/>
        <v>10103.360833333332</v>
      </c>
      <c r="Q217" s="224">
        <f t="shared" si="180"/>
        <v>1156962.1412666668</v>
      </c>
      <c r="R217" s="36">
        <f t="shared" si="170"/>
        <v>40.586025062193606</v>
      </c>
      <c r="S217" s="36">
        <f t="shared" si="171"/>
        <v>20.599895929863738</v>
      </c>
      <c r="T217" s="36">
        <f t="shared" si="172"/>
        <v>17.244034808537258</v>
      </c>
      <c r="U217" s="36">
        <f t="shared" si="173"/>
        <v>1.3275588537083756</v>
      </c>
      <c r="V217" s="36">
        <f t="shared" si="174"/>
        <v>0.828584558447367</v>
      </c>
      <c r="W217" s="36">
        <f t="shared" si="175"/>
        <v>0.35442409165187949</v>
      </c>
    </row>
    <row r="218" spans="1:23" x14ac:dyDescent="0.2">
      <c r="A218" s="369"/>
      <c r="B218" s="33">
        <v>8</v>
      </c>
      <c r="C218" s="390" t="s">
        <v>426</v>
      </c>
      <c r="D218" s="391"/>
      <c r="E218" s="35" t="s">
        <v>28</v>
      </c>
      <c r="F218" s="35" t="s">
        <v>28</v>
      </c>
      <c r="G218" s="224">
        <f t="shared" ref="G218:Q218" si="181">+G11+G28+G204/12</f>
        <v>29646.416666666668</v>
      </c>
      <c r="H218" s="35">
        <f t="shared" si="181"/>
        <v>2983</v>
      </c>
      <c r="I218" s="35">
        <f t="shared" si="181"/>
        <v>0</v>
      </c>
      <c r="J218" s="35">
        <f t="shared" si="181"/>
        <v>2983</v>
      </c>
      <c r="K218" s="35">
        <f t="shared" si="181"/>
        <v>610713.21666666656</v>
      </c>
      <c r="L218" s="35">
        <f t="shared" si="181"/>
        <v>501309.64126666664</v>
      </c>
      <c r="M218" s="35">
        <f t="shared" si="181"/>
        <v>12559</v>
      </c>
      <c r="N218" s="35">
        <f t="shared" si="181"/>
        <v>39587.945833333331</v>
      </c>
      <c r="O218" s="35">
        <f t="shared" si="181"/>
        <v>21597.976666666666</v>
      </c>
      <c r="P218" s="35">
        <f t="shared" si="181"/>
        <v>10458.360833333332</v>
      </c>
      <c r="Q218" s="224">
        <f t="shared" si="181"/>
        <v>1196226.1412666668</v>
      </c>
      <c r="R218" s="36">
        <f t="shared" si="170"/>
        <v>40.34977160027772</v>
      </c>
      <c r="S218" s="36">
        <f t="shared" si="171"/>
        <v>20.599899931694946</v>
      </c>
      <c r="T218" s="36">
        <f t="shared" si="172"/>
        <v>16.909620036148269</v>
      </c>
      <c r="U218" s="36">
        <f t="shared" si="173"/>
        <v>1.3353366202211059</v>
      </c>
      <c r="V218" s="36">
        <f t="shared" si="174"/>
        <v>0.72851896097617186</v>
      </c>
      <c r="W218" s="36">
        <f t="shared" si="175"/>
        <v>0.35276981197840096</v>
      </c>
    </row>
    <row r="219" spans="1:23" x14ac:dyDescent="0.2">
      <c r="A219" s="369"/>
      <c r="B219" s="33">
        <v>9</v>
      </c>
      <c r="C219" s="390" t="s">
        <v>428</v>
      </c>
      <c r="D219" s="391"/>
      <c r="E219" s="35" t="s">
        <v>28</v>
      </c>
      <c r="F219" s="35" t="s">
        <v>28</v>
      </c>
      <c r="G219" s="224">
        <f t="shared" ref="G219:Q219" si="182">+G12+G29+G204/12</f>
        <v>33972.416666666672</v>
      </c>
      <c r="H219" s="35">
        <f t="shared" si="182"/>
        <v>1645</v>
      </c>
      <c r="I219" s="35">
        <f t="shared" si="182"/>
        <v>0</v>
      </c>
      <c r="J219" s="35">
        <f t="shared" si="182"/>
        <v>1645</v>
      </c>
      <c r="K219" s="35">
        <f t="shared" si="182"/>
        <v>699828.21666666656</v>
      </c>
      <c r="L219" s="35">
        <f t="shared" si="182"/>
        <v>532542.64126666659</v>
      </c>
      <c r="M219" s="35">
        <f t="shared" si="182"/>
        <v>6925</v>
      </c>
      <c r="N219" s="35">
        <f t="shared" si="182"/>
        <v>46206.945833333331</v>
      </c>
      <c r="O219" s="35">
        <f t="shared" si="182"/>
        <v>21597.976666666666</v>
      </c>
      <c r="P219" s="35">
        <f t="shared" si="182"/>
        <v>11800.360833333332</v>
      </c>
      <c r="Q219" s="224">
        <f t="shared" si="182"/>
        <v>1318901.1412666668</v>
      </c>
      <c r="R219" s="36">
        <f t="shared" si="170"/>
        <v>38.822705908960458</v>
      </c>
      <c r="S219" s="36">
        <f t="shared" si="171"/>
        <v>20.599895012865822</v>
      </c>
      <c r="T219" s="36">
        <f t="shared" si="172"/>
        <v>15.675736185974401</v>
      </c>
      <c r="U219" s="36">
        <f t="shared" si="173"/>
        <v>1.3601312584474166</v>
      </c>
      <c r="V219" s="36">
        <f t="shared" si="174"/>
        <v>0.63575037591771744</v>
      </c>
      <c r="W219" s="36">
        <f t="shared" si="175"/>
        <v>0.34735123347617791</v>
      </c>
    </row>
    <row r="220" spans="1:23" x14ac:dyDescent="0.2">
      <c r="A220" s="369"/>
      <c r="B220" s="33">
        <v>10</v>
      </c>
      <c r="C220" s="390" t="s">
        <v>435</v>
      </c>
      <c r="D220" s="391"/>
      <c r="E220" s="35" t="s">
        <v>28</v>
      </c>
      <c r="F220" s="35" t="s">
        <v>28</v>
      </c>
      <c r="G220" s="224">
        <f t="shared" ref="G220:Q220" si="183">+G13+G30+G204/12</f>
        <v>34127.416666666672</v>
      </c>
      <c r="H220" s="35">
        <f t="shared" si="183"/>
        <v>2893</v>
      </c>
      <c r="I220" s="35">
        <f t="shared" si="183"/>
        <v>0</v>
      </c>
      <c r="J220" s="35">
        <f t="shared" si="183"/>
        <v>2893</v>
      </c>
      <c r="K220" s="35">
        <f t="shared" si="183"/>
        <v>703023.21666666656</v>
      </c>
      <c r="L220" s="35">
        <f t="shared" si="183"/>
        <v>530724.64126666659</v>
      </c>
      <c r="M220" s="35">
        <f t="shared" si="183"/>
        <v>12179</v>
      </c>
      <c r="N220" s="35">
        <f t="shared" si="183"/>
        <v>46443.945833333331</v>
      </c>
      <c r="O220" s="35">
        <f t="shared" si="183"/>
        <v>21597.976666666666</v>
      </c>
      <c r="P220" s="35">
        <f t="shared" si="183"/>
        <v>16097.360833333332</v>
      </c>
      <c r="Q220" s="224">
        <f t="shared" si="183"/>
        <v>1330066.1412666668</v>
      </c>
      <c r="R220" s="36">
        <f t="shared" si="170"/>
        <v>38.973537149261709</v>
      </c>
      <c r="S220" s="36">
        <f t="shared" si="171"/>
        <v>20.599954093605085</v>
      </c>
      <c r="T220" s="36">
        <f t="shared" si="172"/>
        <v>15.551269129170334</v>
      </c>
      <c r="U220" s="36">
        <f t="shared" si="173"/>
        <v>1.360898373497359</v>
      </c>
      <c r="V220" s="36">
        <f t="shared" si="174"/>
        <v>0.63286292301644076</v>
      </c>
      <c r="W220" s="36">
        <f t="shared" si="175"/>
        <v>0.4716841298174243</v>
      </c>
    </row>
    <row r="221" spans="1:23" x14ac:dyDescent="0.2">
      <c r="A221" s="369"/>
      <c r="B221" s="33">
        <v>11</v>
      </c>
      <c r="C221" s="390" t="s">
        <v>437</v>
      </c>
      <c r="D221" s="391"/>
      <c r="E221" s="35" t="s">
        <v>28</v>
      </c>
      <c r="F221" s="35" t="s">
        <v>28</v>
      </c>
      <c r="G221" s="224">
        <f t="shared" ref="G221:Q221" si="184">+G14+G31+G204/12</f>
        <v>35688.416666666672</v>
      </c>
      <c r="H221" s="35">
        <f t="shared" si="184"/>
        <v>4235</v>
      </c>
      <c r="I221" s="35">
        <f t="shared" si="184"/>
        <v>191</v>
      </c>
      <c r="J221" s="35">
        <f t="shared" si="184"/>
        <v>4426</v>
      </c>
      <c r="K221" s="35">
        <f t="shared" si="184"/>
        <v>735186.21666666656</v>
      </c>
      <c r="L221" s="35">
        <f t="shared" si="184"/>
        <v>540432.64126666659</v>
      </c>
      <c r="M221" s="35">
        <f t="shared" si="184"/>
        <v>18633</v>
      </c>
      <c r="N221" s="35">
        <f t="shared" si="184"/>
        <v>48831.945833333331</v>
      </c>
      <c r="O221" s="35">
        <f t="shared" si="184"/>
        <v>21597.976666666666</v>
      </c>
      <c r="P221" s="35">
        <f t="shared" si="184"/>
        <v>17003.360833333332</v>
      </c>
      <c r="Q221" s="224">
        <f t="shared" si="184"/>
        <v>1381685.1412666668</v>
      </c>
      <c r="R221" s="36">
        <f t="shared" si="170"/>
        <v>38.715226684661921</v>
      </c>
      <c r="S221" s="36">
        <f t="shared" si="171"/>
        <v>20.600135431430829</v>
      </c>
      <c r="T221" s="36">
        <f t="shared" si="172"/>
        <v>15.143082594959612</v>
      </c>
      <c r="U221" s="36">
        <f t="shared" si="173"/>
        <v>1.3682855781871333</v>
      </c>
      <c r="V221" s="36">
        <f t="shared" si="174"/>
        <v>0.60518169994465976</v>
      </c>
      <c r="W221" s="36">
        <f t="shared" si="175"/>
        <v>0.47643920413019153</v>
      </c>
    </row>
    <row r="222" spans="1:23" ht="15" thickBot="1" x14ac:dyDescent="0.25">
      <c r="A222" s="383"/>
      <c r="B222" s="37">
        <v>12</v>
      </c>
      <c r="C222" s="386" t="s">
        <v>439</v>
      </c>
      <c r="D222" s="387"/>
      <c r="E222" s="38" t="s">
        <v>28</v>
      </c>
      <c r="F222" s="38" t="s">
        <v>28</v>
      </c>
      <c r="G222" s="224">
        <f t="shared" ref="G222:Q222" si="185">+G15+G32+G204/12</f>
        <v>33654.416666666672</v>
      </c>
      <c r="H222" s="35">
        <f t="shared" si="185"/>
        <v>3600</v>
      </c>
      <c r="I222" s="35">
        <f t="shared" si="185"/>
        <v>0</v>
      </c>
      <c r="J222" s="35">
        <f t="shared" si="185"/>
        <v>3600</v>
      </c>
      <c r="K222" s="38">
        <f t="shared" si="185"/>
        <v>693285.21666666656</v>
      </c>
      <c r="L222" s="38">
        <f t="shared" si="185"/>
        <v>526393.64126666659</v>
      </c>
      <c r="M222" s="38">
        <f t="shared" si="185"/>
        <v>15157</v>
      </c>
      <c r="N222" s="38">
        <f t="shared" si="185"/>
        <v>45719.945833333331</v>
      </c>
      <c r="O222" s="38">
        <f t="shared" si="185"/>
        <v>21597.976666666666</v>
      </c>
      <c r="P222" s="38">
        <f t="shared" si="185"/>
        <v>15822.360833333332</v>
      </c>
      <c r="Q222" s="224">
        <f t="shared" si="185"/>
        <v>1317976.1412666668</v>
      </c>
      <c r="R222" s="39">
        <f t="shared" si="170"/>
        <v>39.162055736121808</v>
      </c>
      <c r="S222" s="39">
        <f t="shared" si="171"/>
        <v>20.600125788343771</v>
      </c>
      <c r="T222" s="39">
        <f t="shared" si="172"/>
        <v>15.641145900117117</v>
      </c>
      <c r="U222" s="39">
        <f t="shared" si="173"/>
        <v>1.3585125033118484</v>
      </c>
      <c r="V222" s="39">
        <f t="shared" si="174"/>
        <v>0.64175757020500024</v>
      </c>
      <c r="W222" s="39">
        <f t="shared" si="175"/>
        <v>0.47014218044684564</v>
      </c>
    </row>
    <row r="223" spans="1:23" ht="16.5" thickTop="1" thickBot="1" x14ac:dyDescent="0.25">
      <c r="A223" s="361" t="s">
        <v>6</v>
      </c>
      <c r="B223" s="362"/>
      <c r="C223" s="362"/>
      <c r="D223" s="363"/>
      <c r="E223" s="40" t="s">
        <v>28</v>
      </c>
      <c r="F223" s="40" t="s">
        <v>28</v>
      </c>
      <c r="G223" s="40">
        <f t="shared" ref="G223:J223" si="186">SUM(G211:G222)</f>
        <v>389686.00000000006</v>
      </c>
      <c r="H223" s="40">
        <f t="shared" si="186"/>
        <v>25693</v>
      </c>
      <c r="I223" s="40">
        <f t="shared" si="186"/>
        <v>1352</v>
      </c>
      <c r="J223" s="40">
        <f t="shared" si="186"/>
        <v>27045</v>
      </c>
      <c r="K223" s="40">
        <f>SUM(K211:K222)</f>
        <v>8027532.6000000006</v>
      </c>
      <c r="L223" s="40">
        <f t="shared" ref="L223:P223" si="187">SUM(L211:L222)</f>
        <v>6202370.695199999</v>
      </c>
      <c r="M223" s="40">
        <f t="shared" si="187"/>
        <v>111538</v>
      </c>
      <c r="N223" s="40">
        <f t="shared" si="187"/>
        <v>473389.34999999986</v>
      </c>
      <c r="O223" s="40">
        <f t="shared" si="187"/>
        <v>459290.72000000015</v>
      </c>
      <c r="P223" s="40">
        <f t="shared" si="187"/>
        <v>149065.33000000002</v>
      </c>
      <c r="Q223" s="40">
        <f>SUM(Q211:Q222)</f>
        <v>15423186.695199998</v>
      </c>
      <c r="R223" s="41">
        <f t="shared" si="170"/>
        <v>39.578498317106586</v>
      </c>
      <c r="S223" s="41">
        <f t="shared" si="171"/>
        <v>20.600002566168659</v>
      </c>
      <c r="T223" s="41">
        <f t="shared" si="172"/>
        <v>15.916329288709367</v>
      </c>
      <c r="U223" s="41">
        <f t="shared" si="173"/>
        <v>1.2147969134123366</v>
      </c>
      <c r="V223" s="41">
        <f t="shared" si="174"/>
        <v>1.178617450973348</v>
      </c>
      <c r="W223" s="41">
        <f t="shared" si="175"/>
        <v>0.38252677796995527</v>
      </c>
    </row>
    <row r="224" spans="1:23" ht="15" thickTop="1" x14ac:dyDescent="0.2"/>
    <row r="225" spans="7:17" x14ac:dyDescent="0.2">
      <c r="K225" s="48"/>
      <c r="L225" s="48"/>
      <c r="M225" s="48"/>
      <c r="N225" s="48"/>
      <c r="O225" s="48"/>
      <c r="P225" s="48"/>
      <c r="Q225" s="48"/>
    </row>
    <row r="226" spans="7:17" x14ac:dyDescent="0.2">
      <c r="G226" s="48"/>
    </row>
  </sheetData>
  <mergeCells count="236">
    <mergeCell ref="A223:D223"/>
    <mergeCell ref="A211:A222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A209:A210"/>
    <mergeCell ref="B209:B210"/>
    <mergeCell ref="C209:D209"/>
    <mergeCell ref="E209:E210"/>
    <mergeCell ref="F209:F210"/>
    <mergeCell ref="G209:G210"/>
    <mergeCell ref="H209:J209"/>
    <mergeCell ref="K209:Q209"/>
    <mergeCell ref="R209:W209"/>
    <mergeCell ref="V1:W1"/>
    <mergeCell ref="A1:U1"/>
    <mergeCell ref="A2:A3"/>
    <mergeCell ref="A4:A15"/>
    <mergeCell ref="H2:J2"/>
    <mergeCell ref="K2:Q2"/>
    <mergeCell ref="C8:D8"/>
    <mergeCell ref="C9:D9"/>
    <mergeCell ref="C10:D10"/>
    <mergeCell ref="C11:D11"/>
    <mergeCell ref="C2:D2"/>
    <mergeCell ref="E2:E3"/>
    <mergeCell ref="F2:F3"/>
    <mergeCell ref="B2:B3"/>
    <mergeCell ref="C12:D12"/>
    <mergeCell ref="C13:D13"/>
    <mergeCell ref="C14:D14"/>
    <mergeCell ref="C15:D15"/>
    <mergeCell ref="A16:D16"/>
    <mergeCell ref="R2:W2"/>
    <mergeCell ref="C4:D4"/>
    <mergeCell ref="C5:D5"/>
    <mergeCell ref="C6:D6"/>
    <mergeCell ref="C7:D7"/>
    <mergeCell ref="G2:G3"/>
    <mergeCell ref="R19:W19"/>
    <mergeCell ref="A21:A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A19:A20"/>
    <mergeCell ref="B19:B20"/>
    <mergeCell ref="C19:D19"/>
    <mergeCell ref="E19:E20"/>
    <mergeCell ref="F19:F20"/>
    <mergeCell ref="A57:A69"/>
    <mergeCell ref="G19:G20"/>
    <mergeCell ref="G36:G37"/>
    <mergeCell ref="A55:A56"/>
    <mergeCell ref="B55:B56"/>
    <mergeCell ref="C55:D55"/>
    <mergeCell ref="E55:E56"/>
    <mergeCell ref="F55:F56"/>
    <mergeCell ref="G55:G56"/>
    <mergeCell ref="A52:D52"/>
    <mergeCell ref="A38:A51"/>
    <mergeCell ref="E36:E37"/>
    <mergeCell ref="F36:F37"/>
    <mergeCell ref="C32:D32"/>
    <mergeCell ref="A33:D33"/>
    <mergeCell ref="A36:A37"/>
    <mergeCell ref="B36:B37"/>
    <mergeCell ref="C36:D36"/>
    <mergeCell ref="A75:A87"/>
    <mergeCell ref="F73:F74"/>
    <mergeCell ref="G73:G74"/>
    <mergeCell ref="H73:J73"/>
    <mergeCell ref="K73:Q73"/>
    <mergeCell ref="R73:W73"/>
    <mergeCell ref="A70:D70"/>
    <mergeCell ref="A73:A74"/>
    <mergeCell ref="B73:B74"/>
    <mergeCell ref="C73:D73"/>
    <mergeCell ref="E73:E74"/>
    <mergeCell ref="A93:A105"/>
    <mergeCell ref="F91:F92"/>
    <mergeCell ref="G91:G92"/>
    <mergeCell ref="H91:J91"/>
    <mergeCell ref="K91:Q91"/>
    <mergeCell ref="R91:W91"/>
    <mergeCell ref="A88:D88"/>
    <mergeCell ref="A91:A92"/>
    <mergeCell ref="B91:B92"/>
    <mergeCell ref="C91:D91"/>
    <mergeCell ref="E91:E92"/>
    <mergeCell ref="I89:J89"/>
    <mergeCell ref="L89:O89"/>
    <mergeCell ref="S89:T89"/>
    <mergeCell ref="A111:A123"/>
    <mergeCell ref="F109:F110"/>
    <mergeCell ref="G109:G110"/>
    <mergeCell ref="H109:J109"/>
    <mergeCell ref="K109:Q109"/>
    <mergeCell ref="R109:W109"/>
    <mergeCell ref="A106:D106"/>
    <mergeCell ref="A109:A110"/>
    <mergeCell ref="B109:B110"/>
    <mergeCell ref="C109:D109"/>
    <mergeCell ref="E109:E110"/>
    <mergeCell ref="B107:F107"/>
    <mergeCell ref="G107:H107"/>
    <mergeCell ref="I107:J107"/>
    <mergeCell ref="L107:O107"/>
    <mergeCell ref="S107:T107"/>
    <mergeCell ref="A129:A141"/>
    <mergeCell ref="F127:F128"/>
    <mergeCell ref="G127:G128"/>
    <mergeCell ref="H127:J127"/>
    <mergeCell ref="K127:Q127"/>
    <mergeCell ref="R127:W127"/>
    <mergeCell ref="A124:D124"/>
    <mergeCell ref="A127:A128"/>
    <mergeCell ref="B127:B128"/>
    <mergeCell ref="C127:D127"/>
    <mergeCell ref="E127:E128"/>
    <mergeCell ref="I125:J125"/>
    <mergeCell ref="L125:O125"/>
    <mergeCell ref="S125:T125"/>
    <mergeCell ref="A147:A159"/>
    <mergeCell ref="F145:F146"/>
    <mergeCell ref="G145:G146"/>
    <mergeCell ref="H145:J145"/>
    <mergeCell ref="K145:Q145"/>
    <mergeCell ref="R145:W145"/>
    <mergeCell ref="A142:D142"/>
    <mergeCell ref="A145:A146"/>
    <mergeCell ref="B145:B146"/>
    <mergeCell ref="C145:D145"/>
    <mergeCell ref="E145:E146"/>
    <mergeCell ref="B143:F143"/>
    <mergeCell ref="G143:H143"/>
    <mergeCell ref="I143:J143"/>
    <mergeCell ref="L143:O143"/>
    <mergeCell ref="S143:T143"/>
    <mergeCell ref="K201:Q201"/>
    <mergeCell ref="R201:W201"/>
    <mergeCell ref="A197:D197"/>
    <mergeCell ref="A201:A202"/>
    <mergeCell ref="B201:B202"/>
    <mergeCell ref="C201:D201"/>
    <mergeCell ref="E201:E202"/>
    <mergeCell ref="A183:A196"/>
    <mergeCell ref="F181:F182"/>
    <mergeCell ref="G181:G182"/>
    <mergeCell ref="H181:J181"/>
    <mergeCell ref="K181:Q181"/>
    <mergeCell ref="R181:W181"/>
    <mergeCell ref="A181:A182"/>
    <mergeCell ref="B181:B182"/>
    <mergeCell ref="C181:D181"/>
    <mergeCell ref="E181:E182"/>
    <mergeCell ref="I198:J198"/>
    <mergeCell ref="L198:O198"/>
    <mergeCell ref="S198:T198"/>
    <mergeCell ref="A206:D206"/>
    <mergeCell ref="B17:F17"/>
    <mergeCell ref="G17:H17"/>
    <mergeCell ref="B53:F53"/>
    <mergeCell ref="G53:H53"/>
    <mergeCell ref="B89:F89"/>
    <mergeCell ref="G89:H89"/>
    <mergeCell ref="B125:F125"/>
    <mergeCell ref="G125:H125"/>
    <mergeCell ref="B161:F161"/>
    <mergeCell ref="G161:H161"/>
    <mergeCell ref="B198:F198"/>
    <mergeCell ref="G198:H198"/>
    <mergeCell ref="A203:A205"/>
    <mergeCell ref="F201:F202"/>
    <mergeCell ref="G201:G202"/>
    <mergeCell ref="H201:J201"/>
    <mergeCell ref="A178:D178"/>
    <mergeCell ref="A165:A177"/>
    <mergeCell ref="F163:F164"/>
    <mergeCell ref="G163:G164"/>
    <mergeCell ref="H163:J163"/>
    <mergeCell ref="A160:D160"/>
    <mergeCell ref="A163:A164"/>
    <mergeCell ref="I53:J53"/>
    <mergeCell ref="L53:O53"/>
    <mergeCell ref="S53:T53"/>
    <mergeCell ref="B71:F71"/>
    <mergeCell ref="G71:H71"/>
    <mergeCell ref="I71:J71"/>
    <mergeCell ref="L71:O71"/>
    <mergeCell ref="S71:T71"/>
    <mergeCell ref="I17:J17"/>
    <mergeCell ref="L17:O17"/>
    <mergeCell ref="S17:T17"/>
    <mergeCell ref="B34:F34"/>
    <mergeCell ref="G34:H34"/>
    <mergeCell ref="I34:J34"/>
    <mergeCell ref="L34:O34"/>
    <mergeCell ref="S34:T34"/>
    <mergeCell ref="H55:J55"/>
    <mergeCell ref="K55:Q55"/>
    <mergeCell ref="R55:W55"/>
    <mergeCell ref="R36:W36"/>
    <mergeCell ref="H36:J36"/>
    <mergeCell ref="K36:Q36"/>
    <mergeCell ref="H19:J19"/>
    <mergeCell ref="K19:Q19"/>
    <mergeCell ref="I161:J161"/>
    <mergeCell ref="L161:O161"/>
    <mergeCell ref="S161:T161"/>
    <mergeCell ref="B179:F179"/>
    <mergeCell ref="G179:H179"/>
    <mergeCell ref="I179:J179"/>
    <mergeCell ref="L179:O179"/>
    <mergeCell ref="S179:T179"/>
    <mergeCell ref="K163:Q163"/>
    <mergeCell ref="R163:W163"/>
    <mergeCell ref="B163:B164"/>
    <mergeCell ref="C163:D163"/>
    <mergeCell ref="E163:E164"/>
  </mergeCells>
  <printOptions horizontalCentered="1"/>
  <pageMargins left="0.31496062992125984" right="0.23622047244094491" top="0.35433070866141736" bottom="0.35433070866141736" header="0.31496062992125984" footer="0.31496062992125984"/>
  <pageSetup paperSize="9" scale="54" fitToHeight="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2"/>
  <sheetViews>
    <sheetView topLeftCell="A13" workbookViewId="0">
      <selection activeCell="G87" sqref="G87"/>
    </sheetView>
  </sheetViews>
  <sheetFormatPr defaultRowHeight="14.25" x14ac:dyDescent="0.2"/>
  <cols>
    <col min="1" max="1" width="8" style="25" customWidth="1"/>
    <col min="2" max="2" width="6.42578125" style="25" customWidth="1"/>
    <col min="3" max="3" width="11.85546875" style="25" customWidth="1"/>
    <col min="4" max="4" width="12.28515625" style="25" customWidth="1"/>
    <col min="5" max="5" width="13" style="25" customWidth="1"/>
    <col min="6" max="6" width="13.28515625" style="25" customWidth="1"/>
    <col min="7" max="7" width="15" style="25" customWidth="1"/>
    <col min="8" max="8" width="10" style="25" customWidth="1"/>
    <col min="9" max="9" width="9.5703125" style="25" customWidth="1"/>
    <col min="10" max="10" width="11.28515625" style="25" customWidth="1"/>
    <col min="11" max="11" width="11.7109375" style="25" customWidth="1"/>
    <col min="12" max="12" width="15" style="25" customWidth="1"/>
    <col min="13" max="13" width="11.5703125" style="25" customWidth="1"/>
    <col min="14" max="14" width="13" style="25" customWidth="1"/>
    <col min="15" max="15" width="13.7109375" style="25" customWidth="1"/>
    <col min="16" max="16" width="10" style="25" customWidth="1"/>
    <col min="17" max="17" width="11.5703125" style="25" customWidth="1"/>
    <col min="18" max="18" width="12" style="25" customWidth="1"/>
    <col min="19" max="19" width="8.28515625" style="25" customWidth="1"/>
    <col min="20" max="20" width="10" style="25" customWidth="1"/>
    <col min="21" max="21" width="8.28515625" style="25" customWidth="1"/>
    <col min="22" max="22" width="7.85546875" style="25" customWidth="1"/>
    <col min="23" max="23" width="10" style="25" customWidth="1"/>
    <col min="24" max="16384" width="9.140625" style="25"/>
  </cols>
  <sheetData>
    <row r="1" spans="1:23" ht="24.75" customHeight="1" thickBot="1" x14ac:dyDescent="0.25">
      <c r="A1" s="356" t="s">
        <v>80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 t="s">
        <v>81</v>
      </c>
      <c r="W1" s="356"/>
    </row>
    <row r="2" spans="1:23" ht="53.25" customHeight="1" thickTop="1" thickBot="1" x14ac:dyDescent="0.25">
      <c r="A2" s="384" t="s">
        <v>64</v>
      </c>
      <c r="B2" s="364" t="s">
        <v>0</v>
      </c>
      <c r="C2" s="360" t="s">
        <v>5</v>
      </c>
      <c r="D2" s="360"/>
      <c r="E2" s="360" t="s">
        <v>29</v>
      </c>
      <c r="F2" s="360" t="s">
        <v>30</v>
      </c>
      <c r="G2" s="364" t="s">
        <v>7</v>
      </c>
      <c r="H2" s="357" t="s">
        <v>8</v>
      </c>
      <c r="I2" s="358"/>
      <c r="J2" s="359"/>
      <c r="K2" s="357" t="s">
        <v>11</v>
      </c>
      <c r="L2" s="358"/>
      <c r="M2" s="358"/>
      <c r="N2" s="358"/>
      <c r="O2" s="358"/>
      <c r="P2" s="358"/>
      <c r="Q2" s="359"/>
      <c r="R2" s="357" t="s">
        <v>31</v>
      </c>
      <c r="S2" s="358"/>
      <c r="T2" s="358"/>
      <c r="U2" s="358"/>
      <c r="V2" s="358"/>
      <c r="W2" s="359"/>
    </row>
    <row r="3" spans="1:23" ht="105" customHeight="1" thickTop="1" thickBot="1" x14ac:dyDescent="0.25">
      <c r="A3" s="385"/>
      <c r="B3" s="365"/>
      <c r="C3" s="60" t="s">
        <v>3</v>
      </c>
      <c r="D3" s="60" t="s">
        <v>4</v>
      </c>
      <c r="E3" s="360"/>
      <c r="F3" s="360"/>
      <c r="G3" s="365"/>
      <c r="H3" s="60" t="s">
        <v>17</v>
      </c>
      <c r="I3" s="60" t="s">
        <v>89</v>
      </c>
      <c r="J3" s="60" t="s">
        <v>6</v>
      </c>
      <c r="K3" s="60" t="s">
        <v>9</v>
      </c>
      <c r="L3" s="60" t="s">
        <v>10</v>
      </c>
      <c r="M3" s="60" t="s">
        <v>12</v>
      </c>
      <c r="N3" s="60" t="s">
        <v>24</v>
      </c>
      <c r="O3" s="60" t="s">
        <v>25</v>
      </c>
      <c r="P3" s="60" t="s">
        <v>379</v>
      </c>
      <c r="Q3" s="60" t="s">
        <v>23</v>
      </c>
      <c r="R3" s="61" t="s">
        <v>6</v>
      </c>
      <c r="S3" s="61" t="s">
        <v>22</v>
      </c>
      <c r="T3" s="61" t="s">
        <v>20</v>
      </c>
      <c r="U3" s="61" t="s">
        <v>32</v>
      </c>
      <c r="V3" s="61" t="s">
        <v>33</v>
      </c>
      <c r="W3" s="294" t="s">
        <v>386</v>
      </c>
    </row>
    <row r="4" spans="1:23" ht="15" customHeight="1" thickTop="1" x14ac:dyDescent="0.2">
      <c r="A4" s="368" t="s">
        <v>378</v>
      </c>
      <c r="B4" s="29">
        <v>1</v>
      </c>
      <c r="C4" s="388" t="s">
        <v>406</v>
      </c>
      <c r="D4" s="389"/>
      <c r="E4" s="31">
        <v>39</v>
      </c>
      <c r="F4" s="31">
        <v>12</v>
      </c>
      <c r="G4" s="146">
        <v>770</v>
      </c>
      <c r="H4" s="31">
        <v>0</v>
      </c>
      <c r="I4" s="31">
        <v>0</v>
      </c>
      <c r="J4" s="31">
        <f>+I4+H4</f>
        <v>0</v>
      </c>
      <c r="K4" s="31">
        <v>15862</v>
      </c>
      <c r="L4" s="31">
        <f>6976+2959+27456</f>
        <v>37391</v>
      </c>
      <c r="M4" s="31">
        <v>0</v>
      </c>
      <c r="N4" s="31">
        <f>624+62</f>
        <v>686</v>
      </c>
      <c r="O4" s="31">
        <v>1140</v>
      </c>
      <c r="P4" s="31">
        <v>239</v>
      </c>
      <c r="Q4" s="146">
        <f>+P4+O4+N4+M4+L4+K4</f>
        <v>55318</v>
      </c>
      <c r="R4" s="32">
        <f>+Q4/G4</f>
        <v>71.841558441558448</v>
      </c>
      <c r="S4" s="32">
        <f>+K4/G4</f>
        <v>20.6</v>
      </c>
      <c r="T4" s="32">
        <f>+L4/G4</f>
        <v>48.559740259740259</v>
      </c>
      <c r="U4" s="32">
        <f>+N4/G4</f>
        <v>0.89090909090909087</v>
      </c>
      <c r="V4" s="32">
        <f>+O4/G4</f>
        <v>1.4805194805194806</v>
      </c>
      <c r="W4" s="32">
        <f>+P4/G4</f>
        <v>0.31038961038961038</v>
      </c>
    </row>
    <row r="5" spans="1:23" x14ac:dyDescent="0.2">
      <c r="A5" s="369"/>
      <c r="B5" s="33">
        <v>2</v>
      </c>
      <c r="C5" s="390" t="s">
        <v>411</v>
      </c>
      <c r="D5" s="391"/>
      <c r="E5" s="35">
        <v>39</v>
      </c>
      <c r="F5" s="35">
        <v>12</v>
      </c>
      <c r="G5" s="147">
        <v>677</v>
      </c>
      <c r="H5" s="35">
        <v>0</v>
      </c>
      <c r="I5" s="35">
        <v>708</v>
      </c>
      <c r="J5" s="35">
        <f t="shared" ref="J5:J15" si="0">+I5+H5</f>
        <v>708</v>
      </c>
      <c r="K5" s="35">
        <v>13946</v>
      </c>
      <c r="L5" s="35">
        <f>6134+2959+27456</f>
        <v>36549</v>
      </c>
      <c r="M5" s="35">
        <v>2703</v>
      </c>
      <c r="N5" s="35">
        <f>548+54</f>
        <v>602</v>
      </c>
      <c r="O5" s="35">
        <v>1584</v>
      </c>
      <c r="P5" s="35">
        <v>210</v>
      </c>
      <c r="Q5" s="147">
        <f t="shared" ref="Q5:Q15" si="1">+P5+O5+N5+M5+L5+K5</f>
        <v>55594</v>
      </c>
      <c r="R5" s="36">
        <f t="shared" ref="R5:R16" si="2">+Q5/G5</f>
        <v>82.118168389955684</v>
      </c>
      <c r="S5" s="36">
        <f t="shared" ref="S5:S16" si="3">+K5/G5</f>
        <v>20.599704579025111</v>
      </c>
      <c r="T5" s="36">
        <f t="shared" ref="T5:T16" si="4">+L5/G5</f>
        <v>53.986706056129982</v>
      </c>
      <c r="U5" s="36">
        <f t="shared" ref="U5:U16" si="5">+N5/G5</f>
        <v>0.8892171344165436</v>
      </c>
      <c r="V5" s="36">
        <f t="shared" ref="V5:V16" si="6">+O5/G5</f>
        <v>2.3397341211225995</v>
      </c>
      <c r="W5" s="36">
        <f t="shared" ref="W5:W16" si="7">+P5/G5</f>
        <v>0.31019202363367798</v>
      </c>
    </row>
    <row r="6" spans="1:23" x14ac:dyDescent="0.2">
      <c r="A6" s="369"/>
      <c r="B6" s="33">
        <v>3</v>
      </c>
      <c r="C6" s="390" t="s">
        <v>412</v>
      </c>
      <c r="D6" s="391"/>
      <c r="E6" s="35">
        <v>39</v>
      </c>
      <c r="F6" s="35">
        <v>4</v>
      </c>
      <c r="G6" s="147">
        <v>256</v>
      </c>
      <c r="H6" s="35">
        <v>1</v>
      </c>
      <c r="I6" s="35">
        <v>736</v>
      </c>
      <c r="J6" s="35">
        <f t="shared" si="0"/>
        <v>737</v>
      </c>
      <c r="K6" s="35">
        <v>5274</v>
      </c>
      <c r="L6" s="35">
        <f>2319+2959+27456</f>
        <v>32734</v>
      </c>
      <c r="M6" s="35">
        <v>2815</v>
      </c>
      <c r="N6" s="35">
        <f>207+20</f>
        <v>227</v>
      </c>
      <c r="O6" s="35">
        <v>778</v>
      </c>
      <c r="P6" s="35">
        <v>79</v>
      </c>
      <c r="Q6" s="147">
        <f t="shared" si="1"/>
        <v>41907</v>
      </c>
      <c r="R6" s="36">
        <f t="shared" si="2"/>
        <v>163.69921875</v>
      </c>
      <c r="S6" s="36">
        <f t="shared" si="3"/>
        <v>20.6015625</v>
      </c>
      <c r="T6" s="36">
        <f t="shared" si="4"/>
        <v>127.8671875</v>
      </c>
      <c r="U6" s="36">
        <f t="shared" si="5"/>
        <v>0.88671875</v>
      </c>
      <c r="V6" s="36">
        <f t="shared" si="6"/>
        <v>3.0390625</v>
      </c>
      <c r="W6" s="36">
        <f t="shared" si="7"/>
        <v>0.30859375</v>
      </c>
    </row>
    <row r="7" spans="1:23" x14ac:dyDescent="0.2">
      <c r="A7" s="369"/>
      <c r="B7" s="33">
        <v>4</v>
      </c>
      <c r="C7" s="390" t="s">
        <v>413</v>
      </c>
      <c r="D7" s="391"/>
      <c r="E7" s="35">
        <v>39</v>
      </c>
      <c r="F7" s="35">
        <v>8</v>
      </c>
      <c r="G7" s="147">
        <v>357</v>
      </c>
      <c r="H7" s="35">
        <v>0</v>
      </c>
      <c r="I7" s="35">
        <v>221</v>
      </c>
      <c r="J7" s="35">
        <f t="shared" si="0"/>
        <v>221</v>
      </c>
      <c r="K7" s="35">
        <v>7354</v>
      </c>
      <c r="L7" s="35">
        <f>2862+4177+31551</f>
        <v>38590</v>
      </c>
      <c r="M7" s="35">
        <v>844</v>
      </c>
      <c r="N7" s="35">
        <f>289+29</f>
        <v>318</v>
      </c>
      <c r="O7" s="35">
        <v>989</v>
      </c>
      <c r="P7" s="35">
        <v>111</v>
      </c>
      <c r="Q7" s="147">
        <f t="shared" si="1"/>
        <v>48206</v>
      </c>
      <c r="R7" s="36">
        <f t="shared" si="2"/>
        <v>135.03081232492997</v>
      </c>
      <c r="S7" s="36">
        <f t="shared" si="3"/>
        <v>20.599439775910366</v>
      </c>
      <c r="T7" s="36">
        <f t="shared" si="4"/>
        <v>108.0952380952381</v>
      </c>
      <c r="U7" s="36">
        <f t="shared" si="5"/>
        <v>0.89075630252100846</v>
      </c>
      <c r="V7" s="36">
        <f t="shared" si="6"/>
        <v>2.7703081232492996</v>
      </c>
      <c r="W7" s="36">
        <f t="shared" si="7"/>
        <v>0.31092436974789917</v>
      </c>
    </row>
    <row r="8" spans="1:23" x14ac:dyDescent="0.2">
      <c r="A8" s="369"/>
      <c r="B8" s="33">
        <v>5</v>
      </c>
      <c r="C8" s="390" t="s">
        <v>414</v>
      </c>
      <c r="D8" s="391"/>
      <c r="E8" s="35">
        <v>39</v>
      </c>
      <c r="F8" s="35">
        <v>16</v>
      </c>
      <c r="G8" s="147">
        <v>530</v>
      </c>
      <c r="H8" s="35">
        <v>0</v>
      </c>
      <c r="I8" s="35">
        <v>389</v>
      </c>
      <c r="J8" s="35">
        <f t="shared" si="0"/>
        <v>389</v>
      </c>
      <c r="K8" s="35">
        <v>10918</v>
      </c>
      <c r="L8" s="35">
        <f>4249+4177+31551</f>
        <v>39977</v>
      </c>
      <c r="M8" s="35">
        <v>1637</v>
      </c>
      <c r="N8" s="35">
        <f>429+42</f>
        <v>471</v>
      </c>
      <c r="O8" s="35">
        <v>1712</v>
      </c>
      <c r="P8" s="35">
        <v>165</v>
      </c>
      <c r="Q8" s="147">
        <f t="shared" si="1"/>
        <v>54880</v>
      </c>
      <c r="R8" s="36">
        <f t="shared" si="2"/>
        <v>103.54716981132076</v>
      </c>
      <c r="S8" s="36">
        <f t="shared" si="3"/>
        <v>20.6</v>
      </c>
      <c r="T8" s="36">
        <f t="shared" si="4"/>
        <v>75.428301886792454</v>
      </c>
      <c r="U8" s="36">
        <f t="shared" si="5"/>
        <v>0.88867924528301889</v>
      </c>
      <c r="V8" s="36">
        <f t="shared" si="6"/>
        <v>3.2301886792452832</v>
      </c>
      <c r="W8" s="36">
        <f t="shared" si="7"/>
        <v>0.31132075471698112</v>
      </c>
    </row>
    <row r="9" spans="1:23" x14ac:dyDescent="0.2">
      <c r="A9" s="369"/>
      <c r="B9" s="33">
        <v>6</v>
      </c>
      <c r="C9" s="390" t="s">
        <v>415</v>
      </c>
      <c r="D9" s="391"/>
      <c r="E9" s="35">
        <v>39</v>
      </c>
      <c r="F9" s="35">
        <v>8</v>
      </c>
      <c r="G9" s="147">
        <v>397</v>
      </c>
      <c r="H9" s="35">
        <v>11</v>
      </c>
      <c r="I9" s="35">
        <v>379</v>
      </c>
      <c r="J9" s="35">
        <f t="shared" si="0"/>
        <v>390</v>
      </c>
      <c r="K9" s="35">
        <v>8178</v>
      </c>
      <c r="L9" s="35">
        <f>3182+4177+31551</f>
        <v>38910</v>
      </c>
      <c r="M9" s="35">
        <f>1593+46</f>
        <v>1639</v>
      </c>
      <c r="N9" s="35">
        <f>322+32</f>
        <v>354</v>
      </c>
      <c r="O9" s="35">
        <v>675</v>
      </c>
      <c r="P9" s="35">
        <v>123</v>
      </c>
      <c r="Q9" s="147">
        <f t="shared" si="1"/>
        <v>49879</v>
      </c>
      <c r="R9" s="36">
        <f t="shared" si="2"/>
        <v>125.63979848866499</v>
      </c>
      <c r="S9" s="36">
        <f t="shared" si="3"/>
        <v>20.59949622166247</v>
      </c>
      <c r="T9" s="36">
        <f t="shared" si="4"/>
        <v>98.010075566750629</v>
      </c>
      <c r="U9" s="36">
        <f t="shared" si="5"/>
        <v>0.89168765743073053</v>
      </c>
      <c r="V9" s="36">
        <f t="shared" si="6"/>
        <v>1.7002518891687657</v>
      </c>
      <c r="W9" s="36">
        <f t="shared" si="7"/>
        <v>0.30982367758186397</v>
      </c>
    </row>
    <row r="10" spans="1:23" x14ac:dyDescent="0.2">
      <c r="A10" s="369"/>
      <c r="B10" s="33">
        <v>7</v>
      </c>
      <c r="C10" s="390" t="s">
        <v>416</v>
      </c>
      <c r="D10" s="391"/>
      <c r="E10" s="35">
        <v>39</v>
      </c>
      <c r="F10" s="35">
        <v>4</v>
      </c>
      <c r="G10" s="147">
        <v>253</v>
      </c>
      <c r="H10" s="35">
        <v>10</v>
      </c>
      <c r="I10" s="35">
        <v>132</v>
      </c>
      <c r="J10" s="35">
        <f t="shared" si="0"/>
        <v>142</v>
      </c>
      <c r="K10" s="35">
        <v>5212</v>
      </c>
      <c r="L10" s="35">
        <f>2028+4177+31551</f>
        <v>37756</v>
      </c>
      <c r="M10" s="35">
        <v>597</v>
      </c>
      <c r="N10" s="35">
        <f>367+20</f>
        <v>387</v>
      </c>
      <c r="O10" s="35">
        <v>51</v>
      </c>
      <c r="P10" s="35">
        <v>79</v>
      </c>
      <c r="Q10" s="147">
        <f t="shared" si="1"/>
        <v>44082</v>
      </c>
      <c r="R10" s="36">
        <f t="shared" si="2"/>
        <v>174.23715415019763</v>
      </c>
      <c r="S10" s="36">
        <f t="shared" si="3"/>
        <v>20.600790513833992</v>
      </c>
      <c r="T10" s="36">
        <f t="shared" si="4"/>
        <v>149.23320158102766</v>
      </c>
      <c r="U10" s="36">
        <f t="shared" si="5"/>
        <v>1.5296442687747036</v>
      </c>
      <c r="V10" s="36">
        <f t="shared" si="6"/>
        <v>0.20158102766798419</v>
      </c>
      <c r="W10" s="36">
        <f t="shared" si="7"/>
        <v>0.31225296442687744</v>
      </c>
    </row>
    <row r="11" spans="1:23" x14ac:dyDescent="0.2">
      <c r="A11" s="369"/>
      <c r="B11" s="33">
        <v>8</v>
      </c>
      <c r="C11" s="390" t="s">
        <v>426</v>
      </c>
      <c r="D11" s="391"/>
      <c r="E11" s="35">
        <v>39</v>
      </c>
      <c r="F11" s="35">
        <v>4</v>
      </c>
      <c r="G11" s="147">
        <v>256</v>
      </c>
      <c r="H11" s="35">
        <v>94</v>
      </c>
      <c r="I11" s="35">
        <v>5</v>
      </c>
      <c r="J11" s="35">
        <f t="shared" si="0"/>
        <v>99</v>
      </c>
      <c r="K11" s="35">
        <v>5274</v>
      </c>
      <c r="L11" s="35">
        <f>2052+4177+31551</f>
        <v>37780</v>
      </c>
      <c r="M11" s="35">
        <v>416</v>
      </c>
      <c r="N11" s="35">
        <v>391</v>
      </c>
      <c r="O11" s="35">
        <v>0</v>
      </c>
      <c r="P11" s="35">
        <v>79</v>
      </c>
      <c r="Q11" s="147">
        <f t="shared" si="1"/>
        <v>43940</v>
      </c>
      <c r="R11" s="36">
        <f t="shared" si="2"/>
        <v>171.640625</v>
      </c>
      <c r="S11" s="36">
        <f t="shared" si="3"/>
        <v>20.6015625</v>
      </c>
      <c r="T11" s="36">
        <f t="shared" si="4"/>
        <v>147.578125</v>
      </c>
      <c r="U11" s="36">
        <f t="shared" si="5"/>
        <v>1.52734375</v>
      </c>
      <c r="V11" s="36">
        <f t="shared" si="6"/>
        <v>0</v>
      </c>
      <c r="W11" s="36">
        <f t="shared" si="7"/>
        <v>0.30859375</v>
      </c>
    </row>
    <row r="12" spans="1:23" x14ac:dyDescent="0.2">
      <c r="A12" s="369"/>
      <c r="B12" s="33">
        <v>9</v>
      </c>
      <c r="C12" s="390" t="s">
        <v>428</v>
      </c>
      <c r="D12" s="391"/>
      <c r="E12" s="35">
        <v>39</v>
      </c>
      <c r="F12" s="35">
        <v>8</v>
      </c>
      <c r="G12" s="147">
        <v>444</v>
      </c>
      <c r="H12" s="35">
        <v>85</v>
      </c>
      <c r="I12" s="35">
        <v>5</v>
      </c>
      <c r="J12" s="35">
        <f t="shared" si="0"/>
        <v>90</v>
      </c>
      <c r="K12" s="35">
        <v>9146</v>
      </c>
      <c r="L12" s="35">
        <f>3559+4177+31551</f>
        <v>39287</v>
      </c>
      <c r="M12" s="35">
        <v>379</v>
      </c>
      <c r="N12" s="35">
        <v>680</v>
      </c>
      <c r="O12" s="35">
        <v>0</v>
      </c>
      <c r="P12" s="35">
        <v>138</v>
      </c>
      <c r="Q12" s="147">
        <f t="shared" si="1"/>
        <v>49630</v>
      </c>
      <c r="R12" s="36">
        <f t="shared" si="2"/>
        <v>111.77927927927928</v>
      </c>
      <c r="S12" s="36">
        <f t="shared" si="3"/>
        <v>20.599099099099099</v>
      </c>
      <c r="T12" s="36">
        <f t="shared" si="4"/>
        <v>88.484234234234236</v>
      </c>
      <c r="U12" s="36">
        <f t="shared" si="5"/>
        <v>1.5315315315315314</v>
      </c>
      <c r="V12" s="36">
        <f t="shared" si="6"/>
        <v>0</v>
      </c>
      <c r="W12" s="36">
        <f t="shared" si="7"/>
        <v>0.3108108108108108</v>
      </c>
    </row>
    <row r="13" spans="1:23" x14ac:dyDescent="0.2">
      <c r="A13" s="369"/>
      <c r="B13" s="33">
        <v>10</v>
      </c>
      <c r="C13" s="390" t="s">
        <v>435</v>
      </c>
      <c r="D13" s="391"/>
      <c r="E13" s="35">
        <v>39</v>
      </c>
      <c r="F13" s="35">
        <v>12</v>
      </c>
      <c r="G13" s="147">
        <v>860</v>
      </c>
      <c r="H13" s="35">
        <v>30</v>
      </c>
      <c r="I13" s="35">
        <v>68</v>
      </c>
      <c r="J13" s="35">
        <f t="shared" si="0"/>
        <v>98</v>
      </c>
      <c r="K13" s="35">
        <v>17716</v>
      </c>
      <c r="L13" s="35">
        <f>6895+4177+31551</f>
        <v>42623</v>
      </c>
      <c r="M13" s="35">
        <f>286+126</f>
        <v>412</v>
      </c>
      <c r="N13" s="35">
        <v>1316</v>
      </c>
      <c r="O13" s="35">
        <v>0</v>
      </c>
      <c r="P13" s="35">
        <f>267+232</f>
        <v>499</v>
      </c>
      <c r="Q13" s="147">
        <f t="shared" si="1"/>
        <v>62566</v>
      </c>
      <c r="R13" s="36">
        <f t="shared" si="2"/>
        <v>72.751162790697677</v>
      </c>
      <c r="S13" s="36">
        <f t="shared" si="3"/>
        <v>20.6</v>
      </c>
      <c r="T13" s="36">
        <f t="shared" si="4"/>
        <v>49.561627906976746</v>
      </c>
      <c r="U13" s="36">
        <f t="shared" si="5"/>
        <v>1.5302325581395348</v>
      </c>
      <c r="V13" s="36">
        <f t="shared" si="6"/>
        <v>0</v>
      </c>
      <c r="W13" s="36">
        <f t="shared" si="7"/>
        <v>0.58023255813953489</v>
      </c>
    </row>
    <row r="14" spans="1:23" x14ac:dyDescent="0.2">
      <c r="A14" s="369"/>
      <c r="B14" s="33">
        <v>11</v>
      </c>
      <c r="C14" s="390" t="s">
        <v>437</v>
      </c>
      <c r="D14" s="391"/>
      <c r="E14" s="35">
        <v>39</v>
      </c>
      <c r="F14" s="35">
        <v>20</v>
      </c>
      <c r="G14" s="147">
        <v>981</v>
      </c>
      <c r="H14" s="35">
        <v>10</v>
      </c>
      <c r="I14" s="35">
        <v>993</v>
      </c>
      <c r="J14" s="35">
        <f t="shared" si="0"/>
        <v>1003</v>
      </c>
      <c r="K14" s="35">
        <v>20209</v>
      </c>
      <c r="L14" s="35">
        <f>7865+4177+31551</f>
        <v>43593</v>
      </c>
      <c r="M14" s="35">
        <v>4223</v>
      </c>
      <c r="N14" s="35">
        <v>1500</v>
      </c>
      <c r="O14" s="35">
        <v>0</v>
      </c>
      <c r="P14" s="35">
        <f>305+265</f>
        <v>570</v>
      </c>
      <c r="Q14" s="147">
        <f t="shared" si="1"/>
        <v>70095</v>
      </c>
      <c r="R14" s="36">
        <f t="shared" si="2"/>
        <v>71.452599388379198</v>
      </c>
      <c r="S14" s="36">
        <f t="shared" si="3"/>
        <v>20.600407747196737</v>
      </c>
      <c r="T14" s="36">
        <f t="shared" si="4"/>
        <v>44.437308868501532</v>
      </c>
      <c r="U14" s="36">
        <f t="shared" si="5"/>
        <v>1.5290519877675841</v>
      </c>
      <c r="V14" s="36">
        <f t="shared" si="6"/>
        <v>0</v>
      </c>
      <c r="W14" s="36">
        <f t="shared" si="7"/>
        <v>0.58103975535168195</v>
      </c>
    </row>
    <row r="15" spans="1:23" ht="15" thickBot="1" x14ac:dyDescent="0.25">
      <c r="A15" s="383"/>
      <c r="B15" s="37">
        <v>12</v>
      </c>
      <c r="C15" s="386" t="s">
        <v>439</v>
      </c>
      <c r="D15" s="387"/>
      <c r="E15" s="38">
        <v>39</v>
      </c>
      <c r="F15" s="38">
        <v>12</v>
      </c>
      <c r="G15" s="148">
        <v>797</v>
      </c>
      <c r="H15" s="38">
        <v>37</v>
      </c>
      <c r="I15" s="38">
        <v>969</v>
      </c>
      <c r="J15" s="38">
        <f t="shared" si="0"/>
        <v>1006</v>
      </c>
      <c r="K15" s="38">
        <v>16418</v>
      </c>
      <c r="L15" s="38">
        <f>6389+4177+31551</f>
        <v>42117</v>
      </c>
      <c r="M15" s="38">
        <f>4078+156</f>
        <v>4234</v>
      </c>
      <c r="N15" s="38">
        <v>1220</v>
      </c>
      <c r="O15" s="38">
        <v>0</v>
      </c>
      <c r="P15" s="38">
        <f>247+215</f>
        <v>462</v>
      </c>
      <c r="Q15" s="148">
        <f t="shared" si="1"/>
        <v>64451</v>
      </c>
      <c r="R15" s="39">
        <f t="shared" si="2"/>
        <v>80.867001254705144</v>
      </c>
      <c r="S15" s="39">
        <f t="shared" si="3"/>
        <v>20.599749058971142</v>
      </c>
      <c r="T15" s="39">
        <f t="shared" si="4"/>
        <v>52.844416562107902</v>
      </c>
      <c r="U15" s="39">
        <f t="shared" si="5"/>
        <v>1.5307402760351319</v>
      </c>
      <c r="V15" s="39">
        <f t="shared" si="6"/>
        <v>0</v>
      </c>
      <c r="W15" s="39">
        <f t="shared" si="7"/>
        <v>0.57967377666248432</v>
      </c>
    </row>
    <row r="16" spans="1:23" ht="27" customHeight="1" thickTop="1" thickBot="1" x14ac:dyDescent="0.25">
      <c r="A16" s="361" t="s">
        <v>6</v>
      </c>
      <c r="B16" s="362"/>
      <c r="C16" s="362"/>
      <c r="D16" s="363"/>
      <c r="E16" s="40">
        <v>39</v>
      </c>
      <c r="F16" s="40"/>
      <c r="G16" s="40">
        <f>SUM(G4:G15)</f>
        <v>6578</v>
      </c>
      <c r="H16" s="40">
        <f t="shared" ref="H16:Q16" si="8">SUM(H4:H15)</f>
        <v>278</v>
      </c>
      <c r="I16" s="40">
        <f t="shared" si="8"/>
        <v>4605</v>
      </c>
      <c r="J16" s="40">
        <f t="shared" si="8"/>
        <v>4883</v>
      </c>
      <c r="K16" s="40">
        <f t="shared" si="8"/>
        <v>135507</v>
      </c>
      <c r="L16" s="40">
        <f t="shared" si="8"/>
        <v>467307</v>
      </c>
      <c r="M16" s="40">
        <f t="shared" si="8"/>
        <v>19899</v>
      </c>
      <c r="N16" s="40">
        <f t="shared" si="8"/>
        <v>8152</v>
      </c>
      <c r="O16" s="40">
        <f t="shared" si="8"/>
        <v>6929</v>
      </c>
      <c r="P16" s="40">
        <f t="shared" si="8"/>
        <v>2754</v>
      </c>
      <c r="Q16" s="40">
        <f t="shared" si="8"/>
        <v>640548</v>
      </c>
      <c r="R16" s="41">
        <f t="shared" si="2"/>
        <v>97.37731833384008</v>
      </c>
      <c r="S16" s="41">
        <f t="shared" si="3"/>
        <v>20.600030404378231</v>
      </c>
      <c r="T16" s="41">
        <f t="shared" si="4"/>
        <v>71.040893888719978</v>
      </c>
      <c r="U16" s="41">
        <f t="shared" si="5"/>
        <v>1.239282456673761</v>
      </c>
      <c r="V16" s="41">
        <f t="shared" si="6"/>
        <v>1.0533596837944663</v>
      </c>
      <c r="W16" s="41">
        <f t="shared" si="7"/>
        <v>0.4186682882335056</v>
      </c>
    </row>
    <row r="17" spans="1:23" ht="15.75" thickTop="1" x14ac:dyDescent="0.25">
      <c r="A17" s="47" t="s">
        <v>86</v>
      </c>
      <c r="B17" s="382" t="s">
        <v>146</v>
      </c>
      <c r="C17" s="382"/>
      <c r="D17" s="382"/>
      <c r="E17" s="382"/>
      <c r="F17" s="382"/>
      <c r="G17" s="381" t="s">
        <v>87</v>
      </c>
      <c r="H17" s="381"/>
      <c r="I17" s="380" t="s">
        <v>147</v>
      </c>
      <c r="J17" s="380"/>
      <c r="K17" s="308" t="s">
        <v>88</v>
      </c>
      <c r="L17" s="381" t="s">
        <v>148</v>
      </c>
      <c r="M17" s="381"/>
      <c r="N17" s="381"/>
      <c r="O17" s="381"/>
      <c r="P17" s="67"/>
      <c r="Q17" s="67" t="s">
        <v>92</v>
      </c>
      <c r="S17" s="380" t="s">
        <v>149</v>
      </c>
      <c r="T17" s="380"/>
      <c r="V17" s="25" t="s">
        <v>392</v>
      </c>
    </row>
    <row r="18" spans="1:23" ht="15" thickBot="1" x14ac:dyDescent="0.25"/>
    <row r="19" spans="1:23" ht="53.25" customHeight="1" thickTop="1" thickBot="1" x14ac:dyDescent="0.25">
      <c r="A19" s="384" t="s">
        <v>64</v>
      </c>
      <c r="B19" s="364" t="s">
        <v>0</v>
      </c>
      <c r="C19" s="360" t="s">
        <v>5</v>
      </c>
      <c r="D19" s="360"/>
      <c r="E19" s="360" t="s">
        <v>29</v>
      </c>
      <c r="F19" s="360" t="s">
        <v>30</v>
      </c>
      <c r="G19" s="364" t="s">
        <v>7</v>
      </c>
      <c r="H19" s="357" t="s">
        <v>8</v>
      </c>
      <c r="I19" s="358"/>
      <c r="J19" s="359"/>
      <c r="K19" s="357" t="s">
        <v>11</v>
      </c>
      <c r="L19" s="358"/>
      <c r="M19" s="358"/>
      <c r="N19" s="358"/>
      <c r="O19" s="358"/>
      <c r="P19" s="358"/>
      <c r="Q19" s="359"/>
      <c r="R19" s="357" t="s">
        <v>31</v>
      </c>
      <c r="S19" s="358"/>
      <c r="T19" s="358"/>
      <c r="U19" s="358"/>
      <c r="V19" s="358"/>
      <c r="W19" s="359"/>
    </row>
    <row r="20" spans="1:23" ht="105" customHeight="1" thickTop="1" thickBot="1" x14ac:dyDescent="0.25">
      <c r="A20" s="385"/>
      <c r="B20" s="365"/>
      <c r="C20" s="60" t="s">
        <v>3</v>
      </c>
      <c r="D20" s="60" t="s">
        <v>4</v>
      </c>
      <c r="E20" s="360"/>
      <c r="F20" s="360"/>
      <c r="G20" s="365"/>
      <c r="H20" s="60" t="s">
        <v>17</v>
      </c>
      <c r="I20" s="60" t="s">
        <v>89</v>
      </c>
      <c r="J20" s="60" t="s">
        <v>6</v>
      </c>
      <c r="K20" s="60" t="s">
        <v>9</v>
      </c>
      <c r="L20" s="60" t="s">
        <v>10</v>
      </c>
      <c r="M20" s="60" t="s">
        <v>12</v>
      </c>
      <c r="N20" s="60" t="s">
        <v>24</v>
      </c>
      <c r="O20" s="60" t="s">
        <v>25</v>
      </c>
      <c r="P20" s="60" t="s">
        <v>436</v>
      </c>
      <c r="Q20" s="60" t="s">
        <v>23</v>
      </c>
      <c r="R20" s="61" t="s">
        <v>6</v>
      </c>
      <c r="S20" s="61" t="s">
        <v>22</v>
      </c>
      <c r="T20" s="61" t="s">
        <v>20</v>
      </c>
      <c r="U20" s="61" t="s">
        <v>32</v>
      </c>
      <c r="V20" s="61" t="s">
        <v>33</v>
      </c>
      <c r="W20" s="294" t="s">
        <v>386</v>
      </c>
    </row>
    <row r="21" spans="1:23" ht="15" customHeight="1" thickTop="1" x14ac:dyDescent="0.2">
      <c r="A21" s="368" t="s">
        <v>150</v>
      </c>
      <c r="B21" s="29">
        <v>1</v>
      </c>
      <c r="C21" s="388" t="s">
        <v>406</v>
      </c>
      <c r="D21" s="389"/>
      <c r="E21" s="309">
        <v>90</v>
      </c>
      <c r="F21" s="31">
        <v>10</v>
      </c>
      <c r="G21" s="146">
        <v>2216</v>
      </c>
      <c r="H21" s="31">
        <v>0</v>
      </c>
      <c r="I21" s="31">
        <v>0</v>
      </c>
      <c r="J21" s="31">
        <f>+I21+H21</f>
        <v>0</v>
      </c>
      <c r="K21" s="31">
        <v>45656</v>
      </c>
      <c r="L21" s="31">
        <f>20080+2959+63360</f>
        <v>86399</v>
      </c>
      <c r="M21" s="31">
        <v>0</v>
      </c>
      <c r="N21" s="31">
        <f>1795+177</f>
        <v>1972</v>
      </c>
      <c r="O21" s="31">
        <v>3280</v>
      </c>
      <c r="P21" s="31">
        <v>688</v>
      </c>
      <c r="Q21" s="146">
        <f>+P21+O21+N21+M21+L21+K21</f>
        <v>137995</v>
      </c>
      <c r="R21" s="32">
        <f>+Q21/G21</f>
        <v>62.272111913357399</v>
      </c>
      <c r="S21" s="32">
        <f>+K21/G21</f>
        <v>20.602888086642601</v>
      </c>
      <c r="T21" s="32">
        <f>+L21/G21</f>
        <v>38.988718411552348</v>
      </c>
      <c r="U21" s="32">
        <f>+N21/G21</f>
        <v>0.88989169675090252</v>
      </c>
      <c r="V21" s="32">
        <f>+O21/G21</f>
        <v>1.4801444043321299</v>
      </c>
      <c r="W21" s="32">
        <f>+P21/G21</f>
        <v>0.31046931407942241</v>
      </c>
    </row>
    <row r="22" spans="1:23" x14ac:dyDescent="0.2">
      <c r="A22" s="369"/>
      <c r="B22" s="33">
        <v>2</v>
      </c>
      <c r="C22" s="390" t="s">
        <v>411</v>
      </c>
      <c r="D22" s="391"/>
      <c r="E22" s="309">
        <v>90</v>
      </c>
      <c r="F22" s="35">
        <v>10</v>
      </c>
      <c r="G22" s="147">
        <v>2082</v>
      </c>
      <c r="H22" s="35">
        <v>346</v>
      </c>
      <c r="I22" s="35">
        <v>0</v>
      </c>
      <c r="J22" s="35">
        <f t="shared" ref="J22:J32" si="9">+I22+H22</f>
        <v>346</v>
      </c>
      <c r="K22" s="35">
        <v>42881</v>
      </c>
      <c r="L22" s="35">
        <f>18860+2959+63360</f>
        <v>85179</v>
      </c>
      <c r="M22" s="35">
        <v>1322</v>
      </c>
      <c r="N22" s="35">
        <f>1686+167</f>
        <v>1853</v>
      </c>
      <c r="O22" s="35">
        <v>4871</v>
      </c>
      <c r="P22" s="35">
        <v>646</v>
      </c>
      <c r="Q22" s="147">
        <f t="shared" ref="Q22:Q32" si="10">+P22+O22+N22+M22+L22+K22</f>
        <v>136752</v>
      </c>
      <c r="R22" s="36">
        <f t="shared" ref="R22:R33" si="11">+Q22/G22</f>
        <v>65.682997118155626</v>
      </c>
      <c r="S22" s="36">
        <f t="shared" ref="S22:S33" si="12">+K22/G22</f>
        <v>20.596061479346783</v>
      </c>
      <c r="T22" s="36">
        <f t="shared" ref="T22:T33" si="13">+L22/G22</f>
        <v>40.912103746397698</v>
      </c>
      <c r="U22" s="36">
        <f t="shared" ref="U22:U33" si="14">+N22/G22</f>
        <v>0.89000960614793467</v>
      </c>
      <c r="V22" s="36">
        <f t="shared" ref="V22:V33" si="15">+O22/G22</f>
        <v>2.3395773294908744</v>
      </c>
      <c r="W22" s="36">
        <f t="shared" ref="W22:W33" si="16">+P22/G22</f>
        <v>0.31027857829010569</v>
      </c>
    </row>
    <row r="23" spans="1:23" x14ac:dyDescent="0.2">
      <c r="A23" s="369"/>
      <c r="B23" s="33">
        <v>3</v>
      </c>
      <c r="C23" s="390" t="s">
        <v>412</v>
      </c>
      <c r="D23" s="391"/>
      <c r="E23" s="309">
        <v>90</v>
      </c>
      <c r="F23" s="35">
        <v>6</v>
      </c>
      <c r="G23" s="147">
        <v>1307</v>
      </c>
      <c r="H23" s="35">
        <v>304</v>
      </c>
      <c r="I23" s="35">
        <v>0</v>
      </c>
      <c r="J23" s="35">
        <f t="shared" si="9"/>
        <v>304</v>
      </c>
      <c r="K23" s="35">
        <v>26928</v>
      </c>
      <c r="L23" s="35">
        <f>11842+2659+63360</f>
        <v>77861</v>
      </c>
      <c r="M23" s="35">
        <v>1161</v>
      </c>
      <c r="N23" s="35">
        <f>1059+105</f>
        <v>1164</v>
      </c>
      <c r="O23" s="35">
        <v>3974</v>
      </c>
      <c r="P23" s="35">
        <v>406</v>
      </c>
      <c r="Q23" s="147">
        <f t="shared" si="10"/>
        <v>111494</v>
      </c>
      <c r="R23" s="36">
        <f t="shared" si="11"/>
        <v>85.305279265493496</v>
      </c>
      <c r="S23" s="36">
        <f t="shared" si="12"/>
        <v>20.602907421576127</v>
      </c>
      <c r="T23" s="36">
        <f t="shared" si="13"/>
        <v>59.572302983932673</v>
      </c>
      <c r="U23" s="36">
        <f t="shared" si="14"/>
        <v>0.89058913542463658</v>
      </c>
      <c r="V23" s="36">
        <f t="shared" si="15"/>
        <v>3.0405508798775824</v>
      </c>
      <c r="W23" s="36">
        <f t="shared" si="16"/>
        <v>0.31063504208110176</v>
      </c>
    </row>
    <row r="24" spans="1:23" x14ac:dyDescent="0.2">
      <c r="A24" s="369"/>
      <c r="B24" s="33">
        <v>4</v>
      </c>
      <c r="C24" s="390" t="s">
        <v>413</v>
      </c>
      <c r="D24" s="391"/>
      <c r="E24" s="309">
        <v>90</v>
      </c>
      <c r="F24" s="35">
        <v>10</v>
      </c>
      <c r="G24" s="147">
        <v>1424</v>
      </c>
      <c r="H24" s="35">
        <v>960</v>
      </c>
      <c r="I24" s="35">
        <v>0</v>
      </c>
      <c r="J24" s="35">
        <f t="shared" si="9"/>
        <v>960</v>
      </c>
      <c r="K24" s="35">
        <v>29328</v>
      </c>
      <c r="L24" s="35">
        <f>11414+4177+72810</f>
        <v>88401</v>
      </c>
      <c r="M24" s="35">
        <v>3667</v>
      </c>
      <c r="N24" s="35">
        <f>1153+114</f>
        <v>1267</v>
      </c>
      <c r="O24" s="35">
        <v>3944</v>
      </c>
      <c r="P24" s="35">
        <v>442</v>
      </c>
      <c r="Q24" s="147">
        <f t="shared" si="10"/>
        <v>127049</v>
      </c>
      <c r="R24" s="36">
        <f t="shared" si="11"/>
        <v>89.219803370786522</v>
      </c>
      <c r="S24" s="36">
        <f t="shared" si="12"/>
        <v>20.59550561797753</v>
      </c>
      <c r="T24" s="36">
        <f t="shared" si="13"/>
        <v>62.079353932584269</v>
      </c>
      <c r="U24" s="36">
        <f t="shared" si="14"/>
        <v>0.889747191011236</v>
      </c>
      <c r="V24" s="36">
        <f t="shared" si="15"/>
        <v>2.7696629213483148</v>
      </c>
      <c r="W24" s="36">
        <f t="shared" si="16"/>
        <v>0.3103932584269663</v>
      </c>
    </row>
    <row r="25" spans="1:23" x14ac:dyDescent="0.2">
      <c r="A25" s="369"/>
      <c r="B25" s="33">
        <v>5</v>
      </c>
      <c r="C25" s="390" t="s">
        <v>414</v>
      </c>
      <c r="D25" s="391"/>
      <c r="E25" s="309">
        <v>90</v>
      </c>
      <c r="F25" s="35">
        <v>10</v>
      </c>
      <c r="G25" s="147">
        <v>1902</v>
      </c>
      <c r="H25" s="35">
        <v>780</v>
      </c>
      <c r="I25" s="35">
        <v>0</v>
      </c>
      <c r="J25" s="35">
        <f t="shared" si="9"/>
        <v>780</v>
      </c>
      <c r="K25" s="35">
        <v>39177</v>
      </c>
      <c r="L25" s="35">
        <f>15246+4177+72810</f>
        <v>92233</v>
      </c>
      <c r="M25" s="35">
        <v>3284</v>
      </c>
      <c r="N25" s="35">
        <f>1540+152</f>
        <v>1692</v>
      </c>
      <c r="O25" s="35">
        <v>6143</v>
      </c>
      <c r="P25" s="35">
        <v>591</v>
      </c>
      <c r="Q25" s="147">
        <f t="shared" si="10"/>
        <v>143120</v>
      </c>
      <c r="R25" s="36">
        <f t="shared" si="11"/>
        <v>75.24710830704521</v>
      </c>
      <c r="S25" s="36">
        <f t="shared" si="12"/>
        <v>20.597791798107256</v>
      </c>
      <c r="T25" s="36">
        <f t="shared" si="13"/>
        <v>48.492639327024186</v>
      </c>
      <c r="U25" s="36">
        <f t="shared" si="14"/>
        <v>0.88958990536277605</v>
      </c>
      <c r="V25" s="36">
        <f t="shared" si="15"/>
        <v>3.2297581493165088</v>
      </c>
      <c r="W25" s="36">
        <f t="shared" si="16"/>
        <v>0.3107255520504732</v>
      </c>
    </row>
    <row r="26" spans="1:23" x14ac:dyDescent="0.2">
      <c r="A26" s="369"/>
      <c r="B26" s="33">
        <v>6</v>
      </c>
      <c r="C26" s="390" t="s">
        <v>415</v>
      </c>
      <c r="D26" s="391"/>
      <c r="E26" s="309">
        <v>90</v>
      </c>
      <c r="F26" s="144">
        <v>15</v>
      </c>
      <c r="G26" s="147">
        <v>1888</v>
      </c>
      <c r="H26" s="35">
        <v>664</v>
      </c>
      <c r="I26" s="35">
        <v>0</v>
      </c>
      <c r="J26" s="35">
        <f t="shared" si="9"/>
        <v>664</v>
      </c>
      <c r="K26" s="35">
        <v>38891</v>
      </c>
      <c r="L26" s="35">
        <f>15136+4177+72810</f>
        <v>92123</v>
      </c>
      <c r="M26" s="35">
        <v>2795</v>
      </c>
      <c r="N26" s="35">
        <f>1529+151</f>
        <v>1680</v>
      </c>
      <c r="O26" s="35">
        <v>3209</v>
      </c>
      <c r="P26" s="35">
        <v>586</v>
      </c>
      <c r="Q26" s="147">
        <f t="shared" si="10"/>
        <v>139284</v>
      </c>
      <c r="R26" s="36">
        <f t="shared" si="11"/>
        <v>73.773305084745758</v>
      </c>
      <c r="S26" s="36">
        <f t="shared" si="12"/>
        <v>20.599046610169491</v>
      </c>
      <c r="T26" s="36">
        <f t="shared" si="13"/>
        <v>48.793961864406782</v>
      </c>
      <c r="U26" s="36">
        <f t="shared" si="14"/>
        <v>0.88983050847457623</v>
      </c>
      <c r="V26" s="36">
        <f t="shared" si="15"/>
        <v>1.6996822033898304</v>
      </c>
      <c r="W26" s="36">
        <f t="shared" si="16"/>
        <v>0.3103813559322034</v>
      </c>
    </row>
    <row r="27" spans="1:23" x14ac:dyDescent="0.2">
      <c r="A27" s="369"/>
      <c r="B27" s="33">
        <v>7</v>
      </c>
      <c r="C27" s="390" t="s">
        <v>416</v>
      </c>
      <c r="D27" s="391"/>
      <c r="E27" s="35">
        <v>90</v>
      </c>
      <c r="F27" s="144">
        <v>7</v>
      </c>
      <c r="G27" s="147">
        <v>1025</v>
      </c>
      <c r="H27" s="35">
        <v>831</v>
      </c>
      <c r="I27" s="35">
        <v>0</v>
      </c>
      <c r="J27" s="35">
        <f t="shared" si="9"/>
        <v>831</v>
      </c>
      <c r="K27" s="35">
        <v>21123</v>
      </c>
      <c r="L27" s="35">
        <f>8221+4177+72810</f>
        <v>85208</v>
      </c>
      <c r="M27" s="35">
        <v>3499</v>
      </c>
      <c r="N27" s="35">
        <f>1487+82</f>
        <v>1569</v>
      </c>
      <c r="O27" s="35">
        <v>205</v>
      </c>
      <c r="P27" s="35">
        <v>318</v>
      </c>
      <c r="Q27" s="147">
        <f t="shared" si="10"/>
        <v>111922</v>
      </c>
      <c r="R27" s="36">
        <f t="shared" si="11"/>
        <v>109.19219512195122</v>
      </c>
      <c r="S27" s="36">
        <f t="shared" si="12"/>
        <v>20.607804878048782</v>
      </c>
      <c r="T27" s="36">
        <f t="shared" si="13"/>
        <v>83.129756097560971</v>
      </c>
      <c r="U27" s="36">
        <f t="shared" si="14"/>
        <v>1.5307317073170732</v>
      </c>
      <c r="V27" s="36">
        <f t="shared" si="15"/>
        <v>0.2</v>
      </c>
      <c r="W27" s="36">
        <f t="shared" si="16"/>
        <v>0.31024390243902439</v>
      </c>
    </row>
    <row r="28" spans="1:23" x14ac:dyDescent="0.2">
      <c r="A28" s="369"/>
      <c r="B28" s="33">
        <v>8</v>
      </c>
      <c r="C28" s="390" t="s">
        <v>426</v>
      </c>
      <c r="D28" s="391"/>
      <c r="E28" s="35">
        <v>90</v>
      </c>
      <c r="F28" s="144">
        <v>6</v>
      </c>
      <c r="G28" s="147">
        <v>1236</v>
      </c>
      <c r="H28" s="35">
        <v>888</v>
      </c>
      <c r="I28" s="35">
        <v>0</v>
      </c>
      <c r="J28" s="35">
        <f t="shared" si="9"/>
        <v>888</v>
      </c>
      <c r="K28" s="35">
        <v>25464</v>
      </c>
      <c r="L28" s="35">
        <f>9910+4177+72810</f>
        <v>86897</v>
      </c>
      <c r="M28" s="35">
        <v>3738</v>
      </c>
      <c r="N28" s="35">
        <v>1891</v>
      </c>
      <c r="O28" s="35">
        <v>0</v>
      </c>
      <c r="P28" s="35">
        <v>384</v>
      </c>
      <c r="Q28" s="147">
        <f t="shared" si="10"/>
        <v>118374</v>
      </c>
      <c r="R28" s="36">
        <f t="shared" si="11"/>
        <v>95.771844660194176</v>
      </c>
      <c r="S28" s="36">
        <f t="shared" si="12"/>
        <v>20.601941747572816</v>
      </c>
      <c r="T28" s="36">
        <f t="shared" si="13"/>
        <v>70.305016181229774</v>
      </c>
      <c r="U28" s="36">
        <f t="shared" si="14"/>
        <v>1.5299352750809061</v>
      </c>
      <c r="V28" s="36">
        <f t="shared" si="15"/>
        <v>0</v>
      </c>
      <c r="W28" s="36">
        <f t="shared" si="16"/>
        <v>0.31067961165048541</v>
      </c>
    </row>
    <row r="29" spans="1:23" x14ac:dyDescent="0.2">
      <c r="A29" s="369"/>
      <c r="B29" s="33">
        <v>9</v>
      </c>
      <c r="C29" s="390" t="s">
        <v>428</v>
      </c>
      <c r="D29" s="391"/>
      <c r="E29" s="35">
        <v>90</v>
      </c>
      <c r="F29" s="144">
        <v>9</v>
      </c>
      <c r="G29" s="147">
        <v>1950</v>
      </c>
      <c r="H29" s="35">
        <v>904</v>
      </c>
      <c r="I29" s="35">
        <v>0</v>
      </c>
      <c r="J29" s="35">
        <f t="shared" si="9"/>
        <v>904</v>
      </c>
      <c r="K29" s="35">
        <v>40162</v>
      </c>
      <c r="L29" s="35">
        <f>15630+4177+72810</f>
        <v>92617</v>
      </c>
      <c r="M29" s="35">
        <v>3806</v>
      </c>
      <c r="N29" s="35">
        <v>2983</v>
      </c>
      <c r="O29" s="35">
        <v>0</v>
      </c>
      <c r="P29" s="35">
        <v>605</v>
      </c>
      <c r="Q29" s="147">
        <f t="shared" si="10"/>
        <v>140173</v>
      </c>
      <c r="R29" s="36">
        <f t="shared" si="11"/>
        <v>71.883589743589738</v>
      </c>
      <c r="S29" s="36">
        <f t="shared" si="12"/>
        <v>20.595897435897434</v>
      </c>
      <c r="T29" s="36">
        <f t="shared" si="13"/>
        <v>47.495897435897433</v>
      </c>
      <c r="U29" s="36">
        <f t="shared" si="14"/>
        <v>1.5297435897435898</v>
      </c>
      <c r="V29" s="36">
        <f t="shared" si="15"/>
        <v>0</v>
      </c>
      <c r="W29" s="36">
        <f t="shared" si="16"/>
        <v>0.31025641025641026</v>
      </c>
    </row>
    <row r="30" spans="1:23" x14ac:dyDescent="0.2">
      <c r="A30" s="369"/>
      <c r="B30" s="33">
        <v>10</v>
      </c>
      <c r="C30" s="390" t="s">
        <v>435</v>
      </c>
      <c r="D30" s="391"/>
      <c r="E30" s="35">
        <v>90</v>
      </c>
      <c r="F30" s="35">
        <v>12</v>
      </c>
      <c r="G30" s="147">
        <v>2330</v>
      </c>
      <c r="H30" s="35">
        <v>829</v>
      </c>
      <c r="I30" s="35">
        <v>0</v>
      </c>
      <c r="J30" s="35">
        <f t="shared" si="9"/>
        <v>829</v>
      </c>
      <c r="K30" s="35">
        <v>47990</v>
      </c>
      <c r="L30" s="35">
        <f>18677+4177+72810</f>
        <v>95664</v>
      </c>
      <c r="M30" s="35">
        <v>3490</v>
      </c>
      <c r="N30" s="35">
        <v>3564</v>
      </c>
      <c r="O30" s="35">
        <v>0</v>
      </c>
      <c r="P30" s="35">
        <f>723+629</f>
        <v>1352</v>
      </c>
      <c r="Q30" s="147">
        <f t="shared" si="10"/>
        <v>152060</v>
      </c>
      <c r="R30" s="36">
        <f t="shared" si="11"/>
        <v>65.261802575107296</v>
      </c>
      <c r="S30" s="36">
        <f t="shared" si="12"/>
        <v>20.596566523605151</v>
      </c>
      <c r="T30" s="36">
        <f t="shared" si="13"/>
        <v>41.057510729613732</v>
      </c>
      <c r="U30" s="36">
        <f t="shared" si="14"/>
        <v>1.5296137339055793</v>
      </c>
      <c r="V30" s="36">
        <f t="shared" si="15"/>
        <v>0</v>
      </c>
      <c r="W30" s="36">
        <f t="shared" si="16"/>
        <v>0.58025751072961373</v>
      </c>
    </row>
    <row r="31" spans="1:23" x14ac:dyDescent="0.2">
      <c r="A31" s="369"/>
      <c r="B31" s="33">
        <v>11</v>
      </c>
      <c r="C31" s="390" t="s">
        <v>435</v>
      </c>
      <c r="D31" s="391"/>
      <c r="E31" s="35">
        <v>90</v>
      </c>
      <c r="F31" s="35">
        <v>13</v>
      </c>
      <c r="G31" s="147">
        <v>2660</v>
      </c>
      <c r="H31" s="35">
        <v>463</v>
      </c>
      <c r="I31" s="35">
        <v>0</v>
      </c>
      <c r="J31" s="35">
        <f t="shared" si="9"/>
        <v>463</v>
      </c>
      <c r="K31" s="35">
        <v>54794</v>
      </c>
      <c r="L31" s="35">
        <f>21324+4177+72810</f>
        <v>98311</v>
      </c>
      <c r="M31" s="35">
        <v>1949</v>
      </c>
      <c r="N31" s="35">
        <v>4070</v>
      </c>
      <c r="O31" s="35">
        <v>0</v>
      </c>
      <c r="P31" s="35">
        <f>826+718</f>
        <v>1544</v>
      </c>
      <c r="Q31" s="147">
        <f t="shared" si="10"/>
        <v>160668</v>
      </c>
      <c r="R31" s="36">
        <f t="shared" si="11"/>
        <v>60.401503759398494</v>
      </c>
      <c r="S31" s="36">
        <f t="shared" si="12"/>
        <v>20.599248120300754</v>
      </c>
      <c r="T31" s="36">
        <f t="shared" si="13"/>
        <v>36.959022556390977</v>
      </c>
      <c r="U31" s="36">
        <f t="shared" si="14"/>
        <v>1.5300751879699248</v>
      </c>
      <c r="V31" s="36">
        <f t="shared" si="15"/>
        <v>0</v>
      </c>
      <c r="W31" s="36">
        <f t="shared" si="16"/>
        <v>0.58045112781954888</v>
      </c>
    </row>
    <row r="32" spans="1:23" ht="15" thickBot="1" x14ac:dyDescent="0.25">
      <c r="A32" s="383"/>
      <c r="B32" s="37">
        <v>12</v>
      </c>
      <c r="C32" s="386" t="s">
        <v>439</v>
      </c>
      <c r="D32" s="387"/>
      <c r="E32" s="35">
        <v>90</v>
      </c>
      <c r="F32" s="38">
        <v>12</v>
      </c>
      <c r="G32" s="148">
        <v>2274</v>
      </c>
      <c r="H32" s="38">
        <v>486</v>
      </c>
      <c r="I32" s="38">
        <v>0</v>
      </c>
      <c r="J32" s="38">
        <f t="shared" si="9"/>
        <v>486</v>
      </c>
      <c r="K32" s="38">
        <v>46851</v>
      </c>
      <c r="L32" s="38">
        <f>18233+4177+72810</f>
        <v>95220</v>
      </c>
      <c r="M32" s="38">
        <v>2046</v>
      </c>
      <c r="N32" s="38">
        <v>3480</v>
      </c>
      <c r="O32" s="38">
        <v>0</v>
      </c>
      <c r="P32" s="38">
        <f>706+614</f>
        <v>1320</v>
      </c>
      <c r="Q32" s="148">
        <f t="shared" si="10"/>
        <v>148917</v>
      </c>
      <c r="R32" s="39">
        <f t="shared" si="11"/>
        <v>65.486807387862797</v>
      </c>
      <c r="S32" s="39">
        <f t="shared" si="12"/>
        <v>20.602902374670183</v>
      </c>
      <c r="T32" s="39">
        <f t="shared" si="13"/>
        <v>41.873350923482853</v>
      </c>
      <c r="U32" s="39">
        <f t="shared" si="14"/>
        <v>1.5303430079155673</v>
      </c>
      <c r="V32" s="39">
        <f t="shared" si="15"/>
        <v>0</v>
      </c>
      <c r="W32" s="39">
        <f t="shared" si="16"/>
        <v>0.58047493403693928</v>
      </c>
    </row>
    <row r="33" spans="1:23" ht="27" customHeight="1" thickTop="1" thickBot="1" x14ac:dyDescent="0.25">
      <c r="A33" s="361" t="s">
        <v>6</v>
      </c>
      <c r="B33" s="362"/>
      <c r="C33" s="362"/>
      <c r="D33" s="363"/>
      <c r="E33" s="40">
        <v>49</v>
      </c>
      <c r="F33" s="40"/>
      <c r="G33" s="40">
        <f>SUM(G21:G32)</f>
        <v>22294</v>
      </c>
      <c r="H33" s="40">
        <f t="shared" ref="H33:Q33" si="17">SUM(H21:H32)</f>
        <v>7455</v>
      </c>
      <c r="I33" s="40">
        <f t="shared" si="17"/>
        <v>0</v>
      </c>
      <c r="J33" s="40">
        <f t="shared" si="17"/>
        <v>7455</v>
      </c>
      <c r="K33" s="40">
        <f t="shared" si="17"/>
        <v>459245</v>
      </c>
      <c r="L33" s="40">
        <f t="shared" si="17"/>
        <v>1076113</v>
      </c>
      <c r="M33" s="40">
        <f t="shared" si="17"/>
        <v>30757</v>
      </c>
      <c r="N33" s="40">
        <f t="shared" si="17"/>
        <v>27185</v>
      </c>
      <c r="O33" s="40">
        <f t="shared" si="17"/>
        <v>25626</v>
      </c>
      <c r="P33" s="40">
        <f t="shared" si="17"/>
        <v>8882</v>
      </c>
      <c r="Q33" s="40">
        <f t="shared" si="17"/>
        <v>1627808</v>
      </c>
      <c r="R33" s="41">
        <f t="shared" si="11"/>
        <v>73.015519870817258</v>
      </c>
      <c r="S33" s="41">
        <f t="shared" si="12"/>
        <v>20.599488651655154</v>
      </c>
      <c r="T33" s="41">
        <f t="shared" si="13"/>
        <v>48.269175562931729</v>
      </c>
      <c r="U33" s="41">
        <f t="shared" si="14"/>
        <v>1.2193863819861845</v>
      </c>
      <c r="V33" s="41">
        <f t="shared" si="15"/>
        <v>1.1494572530725755</v>
      </c>
      <c r="W33" s="41">
        <f t="shared" si="16"/>
        <v>0.398403157800305</v>
      </c>
    </row>
    <row r="34" spans="1:23" ht="15.75" thickTop="1" x14ac:dyDescent="0.25">
      <c r="A34" s="47" t="s">
        <v>86</v>
      </c>
      <c r="B34" s="382" t="s">
        <v>151</v>
      </c>
      <c r="C34" s="382"/>
      <c r="D34" s="382"/>
      <c r="E34" s="382"/>
      <c r="F34" s="382"/>
      <c r="G34" s="381" t="s">
        <v>87</v>
      </c>
      <c r="H34" s="381"/>
      <c r="I34" s="380" t="s">
        <v>152</v>
      </c>
      <c r="J34" s="380"/>
      <c r="K34" s="308" t="s">
        <v>88</v>
      </c>
      <c r="L34" s="381" t="s">
        <v>148</v>
      </c>
      <c r="M34" s="381"/>
      <c r="N34" s="381"/>
      <c r="O34" s="381"/>
      <c r="P34" s="67"/>
      <c r="Q34" s="67" t="s">
        <v>92</v>
      </c>
      <c r="S34" s="380" t="s">
        <v>153</v>
      </c>
      <c r="T34" s="380"/>
      <c r="V34" s="25" t="s">
        <v>392</v>
      </c>
    </row>
    <row r="35" spans="1:23" ht="15" thickBot="1" x14ac:dyDescent="0.25"/>
    <row r="36" spans="1:23" ht="52.5" customHeight="1" thickTop="1" thickBot="1" x14ac:dyDescent="0.25">
      <c r="A36" s="384" t="s">
        <v>64</v>
      </c>
      <c r="B36" s="364" t="s">
        <v>0</v>
      </c>
      <c r="C36" s="360" t="s">
        <v>5</v>
      </c>
      <c r="D36" s="360"/>
      <c r="E36" s="360" t="s">
        <v>29</v>
      </c>
      <c r="F36" s="360" t="s">
        <v>30</v>
      </c>
      <c r="G36" s="364" t="s">
        <v>7</v>
      </c>
      <c r="H36" s="357" t="s">
        <v>8</v>
      </c>
      <c r="I36" s="358"/>
      <c r="J36" s="359"/>
      <c r="K36" s="357" t="s">
        <v>11</v>
      </c>
      <c r="L36" s="358"/>
      <c r="M36" s="358"/>
      <c r="N36" s="358"/>
      <c r="O36" s="358"/>
      <c r="P36" s="358"/>
      <c r="Q36" s="359"/>
      <c r="R36" s="357" t="s">
        <v>31</v>
      </c>
      <c r="S36" s="358"/>
      <c r="T36" s="358"/>
      <c r="U36" s="358"/>
      <c r="V36" s="358"/>
      <c r="W36" s="359"/>
    </row>
    <row r="37" spans="1:23" ht="111.75" customHeight="1" thickTop="1" thickBot="1" x14ac:dyDescent="0.25">
      <c r="A37" s="385"/>
      <c r="B37" s="365"/>
      <c r="C37" s="60" t="s">
        <v>3</v>
      </c>
      <c r="D37" s="60" t="s">
        <v>4</v>
      </c>
      <c r="E37" s="360"/>
      <c r="F37" s="360"/>
      <c r="G37" s="365"/>
      <c r="H37" s="60" t="s">
        <v>17</v>
      </c>
      <c r="I37" s="60" t="s">
        <v>68</v>
      </c>
      <c r="J37" s="60" t="s">
        <v>6</v>
      </c>
      <c r="K37" s="60" t="s">
        <v>9</v>
      </c>
      <c r="L37" s="60" t="s">
        <v>10</v>
      </c>
      <c r="M37" s="60" t="s">
        <v>12</v>
      </c>
      <c r="N37" s="60" t="s">
        <v>24</v>
      </c>
      <c r="O37" s="60" t="s">
        <v>25</v>
      </c>
      <c r="P37" s="60" t="s">
        <v>436</v>
      </c>
      <c r="Q37" s="60" t="s">
        <v>23</v>
      </c>
      <c r="R37" s="61" t="s">
        <v>6</v>
      </c>
      <c r="S37" s="61" t="s">
        <v>22</v>
      </c>
      <c r="T37" s="61" t="s">
        <v>20</v>
      </c>
      <c r="U37" s="61" t="s">
        <v>32</v>
      </c>
      <c r="V37" s="61" t="s">
        <v>33</v>
      </c>
      <c r="W37" s="294" t="s">
        <v>386</v>
      </c>
    </row>
    <row r="38" spans="1:23" ht="15" customHeight="1" thickTop="1" x14ac:dyDescent="0.2">
      <c r="A38" s="368" t="s">
        <v>154</v>
      </c>
      <c r="B38" s="29" t="s">
        <v>104</v>
      </c>
      <c r="C38" s="69">
        <v>44197</v>
      </c>
      <c r="D38" s="30">
        <v>44227</v>
      </c>
      <c r="E38" s="31">
        <v>0</v>
      </c>
      <c r="F38" s="31">
        <v>0</v>
      </c>
      <c r="G38" s="146">
        <f>583+34</f>
        <v>617</v>
      </c>
      <c r="H38" s="31">
        <v>0</v>
      </c>
      <c r="I38" s="31">
        <v>0</v>
      </c>
      <c r="J38" s="31">
        <f>+I38+H38</f>
        <v>0</v>
      </c>
      <c r="K38" s="31">
        <f>12010+34*20.6</f>
        <v>12710.4</v>
      </c>
      <c r="L38" s="31">
        <f>9269+121+15.9*34</f>
        <v>9930.6</v>
      </c>
      <c r="M38" s="31">
        <v>0</v>
      </c>
      <c r="N38" s="31">
        <f>472+47+34*0.89</f>
        <v>549.26</v>
      </c>
      <c r="O38" s="31">
        <f>863+50</f>
        <v>913</v>
      </c>
      <c r="P38" s="31">
        <f>181+34*0.3105</f>
        <v>191.55699999999999</v>
      </c>
      <c r="Q38" s="146">
        <f>+P38+O38+N38+M38+L38+K38</f>
        <v>24294.817000000003</v>
      </c>
      <c r="R38" s="32">
        <f>+Q38/G38</f>
        <v>39.375716369529989</v>
      </c>
      <c r="S38" s="32">
        <f>+K38/G38</f>
        <v>20.600324149108591</v>
      </c>
      <c r="T38" s="32">
        <f>+L38/G38</f>
        <v>16.094975688816856</v>
      </c>
      <c r="U38" s="32">
        <f>+N38/G38</f>
        <v>0.89021069692058341</v>
      </c>
      <c r="V38" s="32">
        <f>+O38/G38</f>
        <v>1.4797406807131281</v>
      </c>
      <c r="W38" s="32">
        <f>+P38/G38</f>
        <v>0.31046515397082658</v>
      </c>
    </row>
    <row r="39" spans="1:23" x14ac:dyDescent="0.2">
      <c r="A39" s="369"/>
      <c r="B39" s="33" t="s">
        <v>105</v>
      </c>
      <c r="C39" s="70">
        <v>44228</v>
      </c>
      <c r="D39" s="34">
        <v>44255</v>
      </c>
      <c r="E39" s="35">
        <v>0</v>
      </c>
      <c r="F39" s="35">
        <v>0</v>
      </c>
      <c r="G39" s="147">
        <f>583-26</f>
        <v>557</v>
      </c>
      <c r="H39" s="35">
        <v>0</v>
      </c>
      <c r="I39" s="35">
        <v>0</v>
      </c>
      <c r="J39" s="35">
        <f t="shared" ref="J39:J50" si="18">+I39+H39</f>
        <v>0</v>
      </c>
      <c r="K39" s="35">
        <f>12010-26*20.6</f>
        <v>11474.4</v>
      </c>
      <c r="L39" s="35">
        <f>9390-15.9*26</f>
        <v>8976.6</v>
      </c>
      <c r="M39" s="35">
        <v>0</v>
      </c>
      <c r="N39" s="35">
        <f>519-26*0.89</f>
        <v>495.86</v>
      </c>
      <c r="O39" s="35">
        <f>1364-60</f>
        <v>1304</v>
      </c>
      <c r="P39" s="35">
        <f>181-26*0.3105</f>
        <v>172.92699999999999</v>
      </c>
      <c r="Q39" s="147">
        <f t="shared" ref="Q39:Q50" si="19">+P39+O39+N39+M39+L39+K39</f>
        <v>22423.787</v>
      </c>
      <c r="R39" s="36">
        <f t="shared" ref="R39:R51" si="20">+Q39/G39</f>
        <v>40.258145421903052</v>
      </c>
      <c r="S39" s="36">
        <f t="shared" ref="S39:S51" si="21">+K39/G39</f>
        <v>20.600359066427288</v>
      </c>
      <c r="T39" s="36">
        <f t="shared" ref="T39:T51" si="22">+L39/G39</f>
        <v>16.115978456014364</v>
      </c>
      <c r="U39" s="36">
        <f t="shared" ref="U39:U51" si="23">+N39/G39</f>
        <v>0.89023339317773786</v>
      </c>
      <c r="V39" s="36">
        <f t="shared" ref="V39:V51" si="24">+O39/G39</f>
        <v>2.3411131059245962</v>
      </c>
      <c r="W39" s="36">
        <f t="shared" ref="W39:W51" si="25">+P39/G39</f>
        <v>0.31046140035906639</v>
      </c>
    </row>
    <row r="40" spans="1:23" x14ac:dyDescent="0.2">
      <c r="A40" s="369"/>
      <c r="B40" s="33" t="s">
        <v>106</v>
      </c>
      <c r="C40" s="70">
        <v>44256</v>
      </c>
      <c r="D40" s="34">
        <v>44286</v>
      </c>
      <c r="E40" s="35">
        <v>0</v>
      </c>
      <c r="F40" s="35">
        <v>0</v>
      </c>
      <c r="G40" s="147">
        <f>583+34</f>
        <v>617</v>
      </c>
      <c r="H40" s="35">
        <v>0</v>
      </c>
      <c r="I40" s="35">
        <v>0</v>
      </c>
      <c r="J40" s="35">
        <f t="shared" si="18"/>
        <v>0</v>
      </c>
      <c r="K40" s="35">
        <f>12010+34*20.6</f>
        <v>12710.4</v>
      </c>
      <c r="L40" s="35">
        <f>9390+34*15.9</f>
        <v>9930.6</v>
      </c>
      <c r="M40" s="35">
        <v>0</v>
      </c>
      <c r="N40" s="35">
        <f>519+34*0.89</f>
        <v>549.26</v>
      </c>
      <c r="O40" s="35">
        <f>1772+103</f>
        <v>1875</v>
      </c>
      <c r="P40" s="35">
        <f>181+34*0.3105</f>
        <v>191.55699999999999</v>
      </c>
      <c r="Q40" s="147">
        <f t="shared" si="19"/>
        <v>25256.817000000003</v>
      </c>
      <c r="R40" s="36">
        <f t="shared" si="20"/>
        <v>40.934873581847654</v>
      </c>
      <c r="S40" s="36">
        <f t="shared" si="21"/>
        <v>20.600324149108591</v>
      </c>
      <c r="T40" s="36">
        <f t="shared" si="22"/>
        <v>16.094975688816856</v>
      </c>
      <c r="U40" s="36">
        <f t="shared" si="23"/>
        <v>0.89021069692058341</v>
      </c>
      <c r="V40" s="36">
        <f t="shared" si="24"/>
        <v>3.0388978930307942</v>
      </c>
      <c r="W40" s="36">
        <f t="shared" si="25"/>
        <v>0.31046515397082658</v>
      </c>
    </row>
    <row r="41" spans="1:23" x14ac:dyDescent="0.2">
      <c r="A41" s="369"/>
      <c r="B41" s="33" t="s">
        <v>107</v>
      </c>
      <c r="C41" s="70">
        <v>44287</v>
      </c>
      <c r="D41" s="34">
        <v>44316</v>
      </c>
      <c r="E41" s="35">
        <v>0</v>
      </c>
      <c r="F41" s="35">
        <v>0</v>
      </c>
      <c r="G41" s="147">
        <v>583</v>
      </c>
      <c r="H41" s="35">
        <v>0</v>
      </c>
      <c r="I41" s="35">
        <v>0</v>
      </c>
      <c r="J41" s="35">
        <f t="shared" si="18"/>
        <v>0</v>
      </c>
      <c r="K41" s="35">
        <v>12010</v>
      </c>
      <c r="L41" s="35">
        <f>9554+121</f>
        <v>9675</v>
      </c>
      <c r="M41" s="35">
        <v>0</v>
      </c>
      <c r="N41" s="35">
        <v>519</v>
      </c>
      <c r="O41" s="35">
        <v>1615</v>
      </c>
      <c r="P41" s="35">
        <v>181</v>
      </c>
      <c r="Q41" s="147">
        <f t="shared" si="19"/>
        <v>24000</v>
      </c>
      <c r="R41" s="36">
        <f t="shared" si="20"/>
        <v>41.166380789022298</v>
      </c>
      <c r="S41" s="36">
        <f t="shared" si="21"/>
        <v>20.600343053173241</v>
      </c>
      <c r="T41" s="36">
        <f t="shared" si="22"/>
        <v>16.595197255574615</v>
      </c>
      <c r="U41" s="36">
        <f t="shared" si="23"/>
        <v>0.89022298456260718</v>
      </c>
      <c r="V41" s="36">
        <f t="shared" si="24"/>
        <v>2.770154373927959</v>
      </c>
      <c r="W41" s="36">
        <f t="shared" si="25"/>
        <v>0.31046312178387653</v>
      </c>
    </row>
    <row r="42" spans="1:23" x14ac:dyDescent="0.2">
      <c r="A42" s="369"/>
      <c r="B42" s="33" t="s">
        <v>108</v>
      </c>
      <c r="C42" s="161">
        <v>44317</v>
      </c>
      <c r="D42" s="162">
        <v>44347</v>
      </c>
      <c r="E42" s="35">
        <v>0</v>
      </c>
      <c r="F42" s="35">
        <v>0</v>
      </c>
      <c r="G42" s="147">
        <v>583</v>
      </c>
      <c r="H42" s="35">
        <v>0</v>
      </c>
      <c r="I42" s="35">
        <v>0</v>
      </c>
      <c r="J42" s="35">
        <f t="shared" si="18"/>
        <v>0</v>
      </c>
      <c r="K42" s="35">
        <v>12010</v>
      </c>
      <c r="L42" s="35">
        <f>1625+7929+121</f>
        <v>9675</v>
      </c>
      <c r="M42" s="35">
        <v>0</v>
      </c>
      <c r="N42" s="35">
        <v>519</v>
      </c>
      <c r="O42" s="35">
        <v>1883</v>
      </c>
      <c r="P42" s="35">
        <v>181</v>
      </c>
      <c r="Q42" s="147">
        <f t="shared" si="19"/>
        <v>24268</v>
      </c>
      <c r="R42" s="36">
        <f t="shared" si="20"/>
        <v>41.626072041166381</v>
      </c>
      <c r="S42" s="36">
        <f t="shared" si="21"/>
        <v>20.600343053173241</v>
      </c>
      <c r="T42" s="36">
        <f t="shared" si="22"/>
        <v>16.595197255574615</v>
      </c>
      <c r="U42" s="36">
        <f t="shared" si="23"/>
        <v>0.89022298456260718</v>
      </c>
      <c r="V42" s="36">
        <f t="shared" si="24"/>
        <v>3.229845626072041</v>
      </c>
      <c r="W42" s="36">
        <f t="shared" si="25"/>
        <v>0.31046312178387653</v>
      </c>
    </row>
    <row r="43" spans="1:23" x14ac:dyDescent="0.2">
      <c r="A43" s="369"/>
      <c r="B43" s="33" t="s">
        <v>109</v>
      </c>
      <c r="C43" s="70">
        <v>44348</v>
      </c>
      <c r="D43" s="34">
        <v>44377</v>
      </c>
      <c r="E43" s="35">
        <v>0</v>
      </c>
      <c r="F43" s="35">
        <v>0</v>
      </c>
      <c r="G43" s="147">
        <v>583</v>
      </c>
      <c r="H43" s="35">
        <v>0</v>
      </c>
      <c r="I43" s="35">
        <v>0</v>
      </c>
      <c r="J43" s="35">
        <f t="shared" si="18"/>
        <v>0</v>
      </c>
      <c r="K43" s="35">
        <v>12010</v>
      </c>
      <c r="L43" s="35">
        <v>9675</v>
      </c>
      <c r="M43" s="35">
        <v>0</v>
      </c>
      <c r="N43" s="35">
        <v>519</v>
      </c>
      <c r="O43" s="35">
        <v>991</v>
      </c>
      <c r="P43" s="35">
        <v>181</v>
      </c>
      <c r="Q43" s="147">
        <f t="shared" si="19"/>
        <v>23376</v>
      </c>
      <c r="R43" s="36">
        <f t="shared" si="20"/>
        <v>40.096054888507716</v>
      </c>
      <c r="S43" s="36">
        <f t="shared" si="21"/>
        <v>20.600343053173241</v>
      </c>
      <c r="T43" s="36">
        <f t="shared" si="22"/>
        <v>16.595197255574615</v>
      </c>
      <c r="U43" s="36">
        <f t="shared" si="23"/>
        <v>0.89022298456260718</v>
      </c>
      <c r="V43" s="36">
        <f t="shared" si="24"/>
        <v>1.6998284734133791</v>
      </c>
      <c r="W43" s="36">
        <f t="shared" si="25"/>
        <v>0.31046312178387653</v>
      </c>
    </row>
    <row r="44" spans="1:23" x14ac:dyDescent="0.2">
      <c r="A44" s="369"/>
      <c r="B44" s="33" t="s">
        <v>110</v>
      </c>
      <c r="C44" s="70">
        <v>44378</v>
      </c>
      <c r="D44" s="34">
        <v>44408</v>
      </c>
      <c r="E44" s="35">
        <v>0</v>
      </c>
      <c r="F44" s="35">
        <v>0</v>
      </c>
      <c r="G44" s="147">
        <v>583</v>
      </c>
      <c r="H44" s="35">
        <v>0</v>
      </c>
      <c r="I44" s="35">
        <v>0</v>
      </c>
      <c r="J44" s="35">
        <f t="shared" si="18"/>
        <v>0</v>
      </c>
      <c r="K44" s="35">
        <v>12010</v>
      </c>
      <c r="L44" s="35">
        <v>9675</v>
      </c>
      <c r="M44" s="35">
        <v>0</v>
      </c>
      <c r="N44" s="35">
        <f>845+47</f>
        <v>892</v>
      </c>
      <c r="O44" s="35">
        <v>117</v>
      </c>
      <c r="P44" s="35">
        <v>181</v>
      </c>
      <c r="Q44" s="147">
        <f t="shared" si="19"/>
        <v>22875</v>
      </c>
      <c r="R44" s="36">
        <f t="shared" si="20"/>
        <v>39.236706689536881</v>
      </c>
      <c r="S44" s="36">
        <f t="shared" si="21"/>
        <v>20.600343053173241</v>
      </c>
      <c r="T44" s="36">
        <f t="shared" si="22"/>
        <v>16.595197255574615</v>
      </c>
      <c r="U44" s="36">
        <f t="shared" si="23"/>
        <v>1.5300171526586621</v>
      </c>
      <c r="V44" s="36">
        <f t="shared" si="24"/>
        <v>0.20068610634648371</v>
      </c>
      <c r="W44" s="36">
        <f t="shared" si="25"/>
        <v>0.31046312178387653</v>
      </c>
    </row>
    <row r="45" spans="1:23" x14ac:dyDescent="0.2">
      <c r="A45" s="369"/>
      <c r="B45" s="33" t="s">
        <v>111</v>
      </c>
      <c r="C45" s="70">
        <v>44409</v>
      </c>
      <c r="D45" s="34">
        <v>44439</v>
      </c>
      <c r="E45" s="35">
        <v>0</v>
      </c>
      <c r="F45" s="35">
        <v>0</v>
      </c>
      <c r="G45" s="147">
        <v>583</v>
      </c>
      <c r="H45" s="35">
        <v>0</v>
      </c>
      <c r="I45" s="35">
        <v>0</v>
      </c>
      <c r="J45" s="35">
        <f t="shared" si="18"/>
        <v>0</v>
      </c>
      <c r="K45" s="35">
        <v>12010</v>
      </c>
      <c r="L45" s="35">
        <v>9675</v>
      </c>
      <c r="M45" s="35">
        <v>0</v>
      </c>
      <c r="N45" s="35">
        <v>892</v>
      </c>
      <c r="O45" s="35">
        <v>0</v>
      </c>
      <c r="P45" s="35">
        <v>181</v>
      </c>
      <c r="Q45" s="147">
        <f t="shared" si="19"/>
        <v>22758</v>
      </c>
      <c r="R45" s="36">
        <f t="shared" si="20"/>
        <v>39.036020583190393</v>
      </c>
      <c r="S45" s="36">
        <f t="shared" si="21"/>
        <v>20.600343053173241</v>
      </c>
      <c r="T45" s="36">
        <f t="shared" si="22"/>
        <v>16.595197255574615</v>
      </c>
      <c r="U45" s="36">
        <f t="shared" si="23"/>
        <v>1.5300171526586621</v>
      </c>
      <c r="V45" s="36">
        <f t="shared" si="24"/>
        <v>0</v>
      </c>
      <c r="W45" s="36">
        <f t="shared" si="25"/>
        <v>0.31046312178387653</v>
      </c>
    </row>
    <row r="46" spans="1:23" x14ac:dyDescent="0.2">
      <c r="A46" s="369"/>
      <c r="B46" s="33" t="s">
        <v>112</v>
      </c>
      <c r="C46" s="70">
        <v>44440</v>
      </c>
      <c r="D46" s="34">
        <v>44469</v>
      </c>
      <c r="E46" s="35">
        <v>0</v>
      </c>
      <c r="F46" s="35">
        <v>0</v>
      </c>
      <c r="G46" s="147">
        <v>583</v>
      </c>
      <c r="H46" s="35">
        <v>0</v>
      </c>
      <c r="I46" s="35">
        <v>0</v>
      </c>
      <c r="J46" s="35">
        <f t="shared" si="18"/>
        <v>0</v>
      </c>
      <c r="K46" s="35">
        <v>12010</v>
      </c>
      <c r="L46" s="35">
        <v>9675</v>
      </c>
      <c r="M46" s="35">
        <v>0</v>
      </c>
      <c r="N46" s="35">
        <v>892</v>
      </c>
      <c r="O46" s="35">
        <v>0</v>
      </c>
      <c r="P46" s="35">
        <v>181</v>
      </c>
      <c r="Q46" s="147">
        <f t="shared" si="19"/>
        <v>22758</v>
      </c>
      <c r="R46" s="36">
        <f t="shared" si="20"/>
        <v>39.036020583190393</v>
      </c>
      <c r="S46" s="36">
        <f t="shared" si="21"/>
        <v>20.600343053173241</v>
      </c>
      <c r="T46" s="36">
        <f t="shared" si="22"/>
        <v>16.595197255574615</v>
      </c>
      <c r="U46" s="36">
        <f t="shared" si="23"/>
        <v>1.5300171526586621</v>
      </c>
      <c r="V46" s="36">
        <f t="shared" si="24"/>
        <v>0</v>
      </c>
      <c r="W46" s="36">
        <f t="shared" si="25"/>
        <v>0.31046312178387653</v>
      </c>
    </row>
    <row r="47" spans="1:23" x14ac:dyDescent="0.2">
      <c r="A47" s="369"/>
      <c r="B47" s="33" t="s">
        <v>113</v>
      </c>
      <c r="C47" s="70">
        <v>44470</v>
      </c>
      <c r="D47" s="34">
        <v>44500</v>
      </c>
      <c r="E47" s="35">
        <v>0</v>
      </c>
      <c r="F47" s="35">
        <v>0</v>
      </c>
      <c r="G47" s="147">
        <v>583</v>
      </c>
      <c r="H47" s="35">
        <v>0</v>
      </c>
      <c r="I47" s="35">
        <v>0</v>
      </c>
      <c r="J47" s="35">
        <f t="shared" si="18"/>
        <v>0</v>
      </c>
      <c r="K47" s="35">
        <v>12010</v>
      </c>
      <c r="L47" s="35">
        <v>9675</v>
      </c>
      <c r="M47" s="35">
        <v>0</v>
      </c>
      <c r="N47" s="35">
        <v>892</v>
      </c>
      <c r="O47" s="35">
        <v>0</v>
      </c>
      <c r="P47" s="35">
        <f>181+157</f>
        <v>338</v>
      </c>
      <c r="Q47" s="147">
        <f t="shared" si="19"/>
        <v>22915</v>
      </c>
      <c r="R47" s="36">
        <f t="shared" si="20"/>
        <v>39.305317324185246</v>
      </c>
      <c r="S47" s="36">
        <f t="shared" si="21"/>
        <v>20.600343053173241</v>
      </c>
      <c r="T47" s="36">
        <f t="shared" si="22"/>
        <v>16.595197255574615</v>
      </c>
      <c r="U47" s="36">
        <f t="shared" si="23"/>
        <v>1.5300171526586621</v>
      </c>
      <c r="V47" s="36">
        <f t="shared" si="24"/>
        <v>0</v>
      </c>
      <c r="W47" s="36">
        <f t="shared" si="25"/>
        <v>0.57975986277873071</v>
      </c>
    </row>
    <row r="48" spans="1:23" x14ac:dyDescent="0.2">
      <c r="A48" s="369"/>
      <c r="B48" s="33" t="s">
        <v>114</v>
      </c>
      <c r="C48" s="161">
        <v>44501</v>
      </c>
      <c r="D48" s="162">
        <v>44530</v>
      </c>
      <c r="E48" s="144">
        <v>0</v>
      </c>
      <c r="F48" s="144">
        <v>0</v>
      </c>
      <c r="G48" s="147">
        <v>583</v>
      </c>
      <c r="H48" s="144">
        <v>0</v>
      </c>
      <c r="I48" s="144">
        <v>0</v>
      </c>
      <c r="J48" s="144">
        <f t="shared" si="18"/>
        <v>0</v>
      </c>
      <c r="K48" s="35">
        <v>12010</v>
      </c>
      <c r="L48" s="35">
        <v>9675</v>
      </c>
      <c r="M48" s="35">
        <v>0</v>
      </c>
      <c r="N48" s="35">
        <v>892</v>
      </c>
      <c r="O48" s="35">
        <v>0</v>
      </c>
      <c r="P48" s="35">
        <f>181+157</f>
        <v>338</v>
      </c>
      <c r="Q48" s="147">
        <f t="shared" si="19"/>
        <v>22915</v>
      </c>
      <c r="R48" s="298">
        <f t="shared" si="20"/>
        <v>39.305317324185246</v>
      </c>
      <c r="S48" s="298">
        <f t="shared" si="21"/>
        <v>20.600343053173241</v>
      </c>
      <c r="T48" s="298">
        <f t="shared" si="22"/>
        <v>16.595197255574615</v>
      </c>
      <c r="U48" s="298">
        <f t="shared" si="23"/>
        <v>1.5300171526586621</v>
      </c>
      <c r="V48" s="298">
        <f t="shared" si="24"/>
        <v>0</v>
      </c>
      <c r="W48" s="298">
        <f t="shared" si="25"/>
        <v>0.57975986277873071</v>
      </c>
    </row>
    <row r="49" spans="1:23" x14ac:dyDescent="0.2">
      <c r="A49" s="369"/>
      <c r="B49" s="33" t="s">
        <v>349</v>
      </c>
      <c r="C49" s="330">
        <v>44531</v>
      </c>
      <c r="D49" s="331">
        <v>44561</v>
      </c>
      <c r="E49" s="145">
        <v>0</v>
      </c>
      <c r="F49" s="145">
        <v>0</v>
      </c>
      <c r="G49" s="148">
        <v>583</v>
      </c>
      <c r="H49" s="145">
        <v>0</v>
      </c>
      <c r="I49" s="145">
        <v>0</v>
      </c>
      <c r="J49" s="145">
        <f t="shared" si="18"/>
        <v>0</v>
      </c>
      <c r="K49" s="35">
        <v>12010</v>
      </c>
      <c r="L49" s="35">
        <v>9675</v>
      </c>
      <c r="M49" s="35">
        <v>0</v>
      </c>
      <c r="N49" s="35">
        <v>892</v>
      </c>
      <c r="O49" s="35">
        <v>0</v>
      </c>
      <c r="P49" s="35">
        <f>181+157</f>
        <v>338</v>
      </c>
      <c r="Q49" s="148">
        <f t="shared" si="19"/>
        <v>22915</v>
      </c>
      <c r="R49" s="332">
        <f t="shared" si="20"/>
        <v>39.305317324185246</v>
      </c>
      <c r="S49" s="332">
        <f t="shared" si="21"/>
        <v>20.600343053173241</v>
      </c>
      <c r="T49" s="332">
        <f t="shared" si="22"/>
        <v>16.595197255574615</v>
      </c>
      <c r="U49" s="298">
        <f t="shared" si="23"/>
        <v>1.5300171526586621</v>
      </c>
      <c r="V49" s="332">
        <f t="shared" si="24"/>
        <v>0</v>
      </c>
      <c r="W49" s="332">
        <f t="shared" si="25"/>
        <v>0.57975986277873071</v>
      </c>
    </row>
    <row r="50" spans="1:23" ht="15" thickBot="1" x14ac:dyDescent="0.25">
      <c r="A50" s="383"/>
      <c r="B50" s="71" t="s">
        <v>440</v>
      </c>
      <c r="C50" s="72">
        <v>44288</v>
      </c>
      <c r="D50" s="73">
        <v>44561</v>
      </c>
      <c r="E50" s="74">
        <v>0</v>
      </c>
      <c r="F50" s="74">
        <v>0</v>
      </c>
      <c r="G50" s="193">
        <v>2949</v>
      </c>
      <c r="H50" s="74">
        <v>0</v>
      </c>
      <c r="I50" s="74">
        <v>0</v>
      </c>
      <c r="J50" s="74">
        <f t="shared" si="18"/>
        <v>0</v>
      </c>
      <c r="K50" s="74">
        <v>60758</v>
      </c>
      <c r="L50" s="74">
        <v>48327</v>
      </c>
      <c r="M50" s="74">
        <v>0</v>
      </c>
      <c r="N50" s="74">
        <f>775+2890+234</f>
        <v>3899</v>
      </c>
      <c r="O50" s="74">
        <f>6439-3899</f>
        <v>2540</v>
      </c>
      <c r="P50" s="74">
        <f>915+271</f>
        <v>1186</v>
      </c>
      <c r="Q50" s="193">
        <f t="shared" si="19"/>
        <v>116710</v>
      </c>
      <c r="R50" s="75">
        <f t="shared" si="20"/>
        <v>39.576127500847747</v>
      </c>
      <c r="S50" s="75">
        <f t="shared" si="21"/>
        <v>20.602916242794169</v>
      </c>
      <c r="T50" s="75">
        <f t="shared" si="22"/>
        <v>16.387589013224822</v>
      </c>
      <c r="U50" s="75">
        <f t="shared" si="23"/>
        <v>1.3221430993557137</v>
      </c>
      <c r="V50" s="75">
        <f t="shared" si="24"/>
        <v>0.86130891827738221</v>
      </c>
      <c r="W50" s="75">
        <f t="shared" si="25"/>
        <v>0.40217022719565954</v>
      </c>
    </row>
    <row r="51" spans="1:23" ht="27" customHeight="1" thickTop="1" thickBot="1" x14ac:dyDescent="0.25">
      <c r="A51" s="361" t="s">
        <v>6</v>
      </c>
      <c r="B51" s="362"/>
      <c r="C51" s="362"/>
      <c r="D51" s="363"/>
      <c r="E51" s="40"/>
      <c r="F51" s="40"/>
      <c r="G51" s="40">
        <f>SUM(G41:G50)</f>
        <v>8196</v>
      </c>
      <c r="H51" s="40">
        <f t="shared" ref="H51:Q51" si="26">SUM(H41:H50)</f>
        <v>0</v>
      </c>
      <c r="I51" s="40">
        <f t="shared" si="26"/>
        <v>0</v>
      </c>
      <c r="J51" s="40">
        <f t="shared" si="26"/>
        <v>0</v>
      </c>
      <c r="K51" s="40">
        <f t="shared" si="26"/>
        <v>168848</v>
      </c>
      <c r="L51" s="40">
        <f t="shared" si="26"/>
        <v>135402</v>
      </c>
      <c r="M51" s="40">
        <f t="shared" si="26"/>
        <v>0</v>
      </c>
      <c r="N51" s="40">
        <f t="shared" si="26"/>
        <v>10808</v>
      </c>
      <c r="O51" s="40">
        <f t="shared" si="26"/>
        <v>7146</v>
      </c>
      <c r="P51" s="40">
        <f t="shared" si="26"/>
        <v>3286</v>
      </c>
      <c r="Q51" s="40">
        <f t="shared" si="26"/>
        <v>325490</v>
      </c>
      <c r="R51" s="41">
        <f t="shared" si="20"/>
        <v>39.713274768179602</v>
      </c>
      <c r="S51" s="41">
        <f t="shared" si="21"/>
        <v>20.601268911664228</v>
      </c>
      <c r="T51" s="41">
        <f t="shared" si="22"/>
        <v>16.520497803806734</v>
      </c>
      <c r="U51" s="41">
        <f t="shared" si="23"/>
        <v>1.3186920448999513</v>
      </c>
      <c r="V51" s="41">
        <f t="shared" si="24"/>
        <v>0.87188872620790625</v>
      </c>
      <c r="W51" s="41">
        <f t="shared" si="25"/>
        <v>0.40092728160078089</v>
      </c>
    </row>
    <row r="52" spans="1:23" ht="15.75" thickTop="1" x14ac:dyDescent="0.25">
      <c r="A52" s="47" t="s">
        <v>86</v>
      </c>
      <c r="B52" s="382" t="s">
        <v>155</v>
      </c>
      <c r="C52" s="382"/>
      <c r="D52" s="382"/>
      <c r="E52" s="382"/>
      <c r="F52" s="382"/>
      <c r="G52" s="381" t="s">
        <v>87</v>
      </c>
      <c r="H52" s="381"/>
      <c r="I52" s="380" t="s">
        <v>425</v>
      </c>
      <c r="J52" s="380"/>
      <c r="K52" s="62" t="s">
        <v>100</v>
      </c>
      <c r="L52" s="381" t="s">
        <v>148</v>
      </c>
      <c r="M52" s="381"/>
      <c r="N52" s="381"/>
      <c r="O52" s="381"/>
      <c r="P52" s="67"/>
      <c r="Q52" s="67" t="s">
        <v>92</v>
      </c>
      <c r="S52" s="380" t="s">
        <v>156</v>
      </c>
      <c r="T52" s="380"/>
    </row>
    <row r="53" spans="1:23" ht="15" thickBot="1" x14ac:dyDescent="0.25"/>
    <row r="54" spans="1:23" ht="52.5" customHeight="1" thickTop="1" thickBot="1" x14ac:dyDescent="0.25">
      <c r="A54" s="384" t="s">
        <v>64</v>
      </c>
      <c r="B54" s="364" t="s">
        <v>0</v>
      </c>
      <c r="C54" s="360" t="s">
        <v>5</v>
      </c>
      <c r="D54" s="360"/>
      <c r="E54" s="360" t="s">
        <v>29</v>
      </c>
      <c r="F54" s="360" t="s">
        <v>30</v>
      </c>
      <c r="G54" s="364" t="s">
        <v>7</v>
      </c>
      <c r="H54" s="357" t="s">
        <v>8</v>
      </c>
      <c r="I54" s="358"/>
      <c r="J54" s="359"/>
      <c r="K54" s="357" t="s">
        <v>11</v>
      </c>
      <c r="L54" s="358"/>
      <c r="M54" s="358"/>
      <c r="N54" s="358"/>
      <c r="O54" s="358"/>
      <c r="P54" s="358"/>
      <c r="Q54" s="359"/>
      <c r="R54" s="357" t="s">
        <v>31</v>
      </c>
      <c r="S54" s="358"/>
      <c r="T54" s="358"/>
      <c r="U54" s="358"/>
      <c r="V54" s="358"/>
      <c r="W54" s="359"/>
    </row>
    <row r="55" spans="1:23" ht="111.75" customHeight="1" thickTop="1" thickBot="1" x14ac:dyDescent="0.25">
      <c r="A55" s="385"/>
      <c r="B55" s="365"/>
      <c r="C55" s="60" t="s">
        <v>3</v>
      </c>
      <c r="D55" s="60" t="s">
        <v>4</v>
      </c>
      <c r="E55" s="360"/>
      <c r="F55" s="360"/>
      <c r="G55" s="365"/>
      <c r="H55" s="60" t="s">
        <v>17</v>
      </c>
      <c r="I55" s="60" t="s">
        <v>68</v>
      </c>
      <c r="J55" s="60" t="s">
        <v>6</v>
      </c>
      <c r="K55" s="60" t="s">
        <v>9</v>
      </c>
      <c r="L55" s="60" t="s">
        <v>10</v>
      </c>
      <c r="M55" s="60" t="s">
        <v>12</v>
      </c>
      <c r="N55" s="60" t="s">
        <v>24</v>
      </c>
      <c r="O55" s="60" t="s">
        <v>25</v>
      </c>
      <c r="P55" s="60" t="s">
        <v>436</v>
      </c>
      <c r="Q55" s="60" t="s">
        <v>23</v>
      </c>
      <c r="R55" s="61" t="s">
        <v>6</v>
      </c>
      <c r="S55" s="61" t="s">
        <v>22</v>
      </c>
      <c r="T55" s="61" t="s">
        <v>20</v>
      </c>
      <c r="U55" s="61" t="s">
        <v>32</v>
      </c>
      <c r="V55" s="61" t="s">
        <v>33</v>
      </c>
      <c r="W55" s="294" t="s">
        <v>386</v>
      </c>
    </row>
    <row r="56" spans="1:23" ht="15" customHeight="1" thickTop="1" x14ac:dyDescent="0.2">
      <c r="A56" s="368" t="s">
        <v>157</v>
      </c>
      <c r="B56" s="29" t="s">
        <v>104</v>
      </c>
      <c r="C56" s="69">
        <v>44197</v>
      </c>
      <c r="D56" s="30">
        <v>44227</v>
      </c>
      <c r="E56" s="31">
        <v>0</v>
      </c>
      <c r="F56" s="31">
        <v>0</v>
      </c>
      <c r="G56" s="146">
        <f>1083-1083</f>
        <v>0</v>
      </c>
      <c r="H56" s="31">
        <v>0</v>
      </c>
      <c r="I56" s="31">
        <v>0</v>
      </c>
      <c r="J56" s="31">
        <f>+I56+H56</f>
        <v>0</v>
      </c>
      <c r="K56" s="31">
        <f>22310-1083*20.6</f>
        <v>0.19999999999708962</v>
      </c>
      <c r="L56" s="31">
        <f>17219+121-1083*15.9</f>
        <v>120.29999999999927</v>
      </c>
      <c r="M56" s="31">
        <v>0</v>
      </c>
      <c r="N56" s="31">
        <f>877+87-0.89*1083</f>
        <v>0.12999999999999545</v>
      </c>
      <c r="O56" s="31">
        <f>1603-1603</f>
        <v>0</v>
      </c>
      <c r="P56" s="31">
        <f>336-336</f>
        <v>0</v>
      </c>
      <c r="Q56" s="146">
        <f>+P56+O56+N56+M56+L56+K56</f>
        <v>120.62999999999636</v>
      </c>
      <c r="R56" s="32" t="e">
        <f>+Q56/G56</f>
        <v>#DIV/0!</v>
      </c>
      <c r="S56" s="32" t="e">
        <f>+K56/G56</f>
        <v>#DIV/0!</v>
      </c>
      <c r="T56" s="32" t="e">
        <f>+L56/G56</f>
        <v>#DIV/0!</v>
      </c>
      <c r="U56" s="32" t="e">
        <f>+N56/G56</f>
        <v>#DIV/0!</v>
      </c>
      <c r="V56" s="32" t="e">
        <f>+O56/G56</f>
        <v>#DIV/0!</v>
      </c>
      <c r="W56" s="32" t="e">
        <f>+P56/G56</f>
        <v>#DIV/0!</v>
      </c>
    </row>
    <row r="57" spans="1:23" x14ac:dyDescent="0.2">
      <c r="A57" s="369"/>
      <c r="B57" s="33" t="s">
        <v>105</v>
      </c>
      <c r="C57" s="70">
        <v>44228</v>
      </c>
      <c r="D57" s="34">
        <v>44255</v>
      </c>
      <c r="E57" s="35">
        <v>0</v>
      </c>
      <c r="F57" s="35">
        <v>0</v>
      </c>
      <c r="G57" s="147">
        <f>1083-1083</f>
        <v>0</v>
      </c>
      <c r="H57" s="35">
        <v>0</v>
      </c>
      <c r="I57" s="35">
        <v>0</v>
      </c>
      <c r="J57" s="35">
        <f t="shared" ref="J57:J68" si="27">+I57+H57</f>
        <v>0</v>
      </c>
      <c r="K57" s="35">
        <f>22310-22310</f>
        <v>0</v>
      </c>
      <c r="L57" s="35">
        <f>17340-1083*15.9</f>
        <v>120.29999999999927</v>
      </c>
      <c r="M57" s="35">
        <v>0</v>
      </c>
      <c r="N57" s="35">
        <f>964-964</f>
        <v>0</v>
      </c>
      <c r="O57" s="35">
        <f>2534-2534</f>
        <v>0</v>
      </c>
      <c r="P57" s="35">
        <f>336-336</f>
        <v>0</v>
      </c>
      <c r="Q57" s="147">
        <f t="shared" ref="Q57:Q68" si="28">+P57+O57+N57+M57+L57+K57</f>
        <v>120.29999999999927</v>
      </c>
      <c r="R57" s="36" t="e">
        <f t="shared" ref="R57:R69" si="29">+Q57/G57</f>
        <v>#DIV/0!</v>
      </c>
      <c r="S57" s="36" t="e">
        <f t="shared" ref="S57:S69" si="30">+K57/G57</f>
        <v>#DIV/0!</v>
      </c>
      <c r="T57" s="36" t="e">
        <f t="shared" ref="T57:T69" si="31">+L57/G57</f>
        <v>#DIV/0!</v>
      </c>
      <c r="U57" s="36" t="e">
        <f t="shared" ref="U57:U69" si="32">+N57/G57</f>
        <v>#DIV/0!</v>
      </c>
      <c r="V57" s="36" t="e">
        <f t="shared" ref="V57:V69" si="33">+O57/G57</f>
        <v>#DIV/0!</v>
      </c>
      <c r="W57" s="36" t="e">
        <f t="shared" ref="W57:W69" si="34">+P57/G57</f>
        <v>#DIV/0!</v>
      </c>
    </row>
    <row r="58" spans="1:23" x14ac:dyDescent="0.2">
      <c r="A58" s="369"/>
      <c r="B58" s="33" t="s">
        <v>106</v>
      </c>
      <c r="C58" s="70">
        <v>44256</v>
      </c>
      <c r="D58" s="34">
        <v>44286</v>
      </c>
      <c r="E58" s="35">
        <v>0</v>
      </c>
      <c r="F58" s="35">
        <v>0</v>
      </c>
      <c r="G58" s="147">
        <f>1083-1083</f>
        <v>0</v>
      </c>
      <c r="H58" s="35">
        <v>0</v>
      </c>
      <c r="I58" s="35">
        <v>0</v>
      </c>
      <c r="J58" s="35">
        <f t="shared" si="27"/>
        <v>0</v>
      </c>
      <c r="K58" s="35">
        <f>22310-22310</f>
        <v>0</v>
      </c>
      <c r="L58" s="35">
        <f>17340-15.9*1083</f>
        <v>120.29999999999927</v>
      </c>
      <c r="M58" s="35">
        <v>0</v>
      </c>
      <c r="N58" s="35">
        <f>964-964</f>
        <v>0</v>
      </c>
      <c r="O58" s="35">
        <f>3292-3292</f>
        <v>0</v>
      </c>
      <c r="P58" s="35">
        <f>336-336</f>
        <v>0</v>
      </c>
      <c r="Q58" s="147">
        <f t="shared" si="28"/>
        <v>120.29999999999927</v>
      </c>
      <c r="R58" s="36" t="e">
        <f t="shared" si="29"/>
        <v>#DIV/0!</v>
      </c>
      <c r="S58" s="36" t="e">
        <f t="shared" si="30"/>
        <v>#DIV/0!</v>
      </c>
      <c r="T58" s="36" t="e">
        <f t="shared" si="31"/>
        <v>#DIV/0!</v>
      </c>
      <c r="U58" s="36" t="e">
        <f t="shared" si="32"/>
        <v>#DIV/0!</v>
      </c>
      <c r="V58" s="36" t="e">
        <f t="shared" si="33"/>
        <v>#DIV/0!</v>
      </c>
      <c r="W58" s="36" t="e">
        <f t="shared" si="34"/>
        <v>#DIV/0!</v>
      </c>
    </row>
    <row r="59" spans="1:23" x14ac:dyDescent="0.2">
      <c r="A59" s="369"/>
      <c r="B59" s="33" t="s">
        <v>107</v>
      </c>
      <c r="C59" s="70">
        <v>44287</v>
      </c>
      <c r="D59" s="34">
        <v>44316</v>
      </c>
      <c r="E59" s="35">
        <v>0</v>
      </c>
      <c r="F59" s="35">
        <v>0</v>
      </c>
      <c r="G59" s="147">
        <f>1083-36</f>
        <v>1047</v>
      </c>
      <c r="H59" s="35">
        <v>0</v>
      </c>
      <c r="I59" s="35">
        <v>0</v>
      </c>
      <c r="J59" s="35">
        <f t="shared" si="27"/>
        <v>0</v>
      </c>
      <c r="K59" s="35">
        <f>22310-36*20.6</f>
        <v>21568.400000000001</v>
      </c>
      <c r="L59" s="35">
        <f>17747+121-16.387*36</f>
        <v>17278.067999999999</v>
      </c>
      <c r="M59" s="35">
        <v>0</v>
      </c>
      <c r="N59" s="35">
        <f>877+87-0.89*36</f>
        <v>931.96</v>
      </c>
      <c r="O59" s="35">
        <f>3000-100</f>
        <v>2900</v>
      </c>
      <c r="P59" s="35">
        <f>336-36*0.3105</f>
        <v>324.822</v>
      </c>
      <c r="Q59" s="147">
        <f t="shared" si="28"/>
        <v>43003.25</v>
      </c>
      <c r="R59" s="36">
        <f t="shared" si="29"/>
        <v>41.072827125119389</v>
      </c>
      <c r="S59" s="36">
        <f t="shared" si="30"/>
        <v>20.600191021967529</v>
      </c>
      <c r="T59" s="36">
        <f t="shared" si="31"/>
        <v>16.502452722063037</v>
      </c>
      <c r="U59" s="36">
        <f t="shared" si="32"/>
        <v>0.89012416427889207</v>
      </c>
      <c r="V59" s="36">
        <f t="shared" si="33"/>
        <v>2.7698185291308501</v>
      </c>
      <c r="W59" s="36">
        <f t="shared" si="34"/>
        <v>0.31024068767908308</v>
      </c>
    </row>
    <row r="60" spans="1:23" x14ac:dyDescent="0.2">
      <c r="A60" s="369"/>
      <c r="B60" s="33" t="s">
        <v>108</v>
      </c>
      <c r="C60" s="70">
        <v>44317</v>
      </c>
      <c r="D60" s="34">
        <v>44347</v>
      </c>
      <c r="E60" s="35">
        <v>0</v>
      </c>
      <c r="F60" s="35">
        <v>0</v>
      </c>
      <c r="G60" s="147">
        <v>1083</v>
      </c>
      <c r="H60" s="35">
        <v>0</v>
      </c>
      <c r="I60" s="35">
        <v>0</v>
      </c>
      <c r="J60" s="35">
        <f t="shared" si="27"/>
        <v>0</v>
      </c>
      <c r="K60" s="35">
        <v>22310</v>
      </c>
      <c r="L60" s="35">
        <f>3018+14729+121</f>
        <v>17868</v>
      </c>
      <c r="M60" s="35">
        <v>0</v>
      </c>
      <c r="N60" s="35">
        <f>0.89*G60</f>
        <v>963.87</v>
      </c>
      <c r="O60" s="35">
        <v>3498</v>
      </c>
      <c r="P60" s="35">
        <f>0.3105*G60</f>
        <v>336.2715</v>
      </c>
      <c r="Q60" s="147">
        <f t="shared" si="28"/>
        <v>44976.141499999998</v>
      </c>
      <c r="R60" s="36">
        <f t="shared" si="29"/>
        <v>41.529216528162507</v>
      </c>
      <c r="S60" s="36">
        <f t="shared" si="30"/>
        <v>20.600184672206833</v>
      </c>
      <c r="T60" s="36">
        <f t="shared" si="31"/>
        <v>16.498614958448755</v>
      </c>
      <c r="U60" s="36">
        <f t="shared" si="32"/>
        <v>0.89</v>
      </c>
      <c r="V60" s="36">
        <f t="shared" si="33"/>
        <v>3.229916897506925</v>
      </c>
      <c r="W60" s="36">
        <f t="shared" si="34"/>
        <v>0.3105</v>
      </c>
    </row>
    <row r="61" spans="1:23" x14ac:dyDescent="0.2">
      <c r="A61" s="369"/>
      <c r="B61" s="33" t="s">
        <v>109</v>
      </c>
      <c r="C61" s="70">
        <v>44348</v>
      </c>
      <c r="D61" s="34">
        <v>44377</v>
      </c>
      <c r="E61" s="35">
        <v>0</v>
      </c>
      <c r="F61" s="35">
        <v>0</v>
      </c>
      <c r="G61" s="147">
        <v>1083</v>
      </c>
      <c r="H61" s="35">
        <v>0</v>
      </c>
      <c r="I61" s="35">
        <v>0</v>
      </c>
      <c r="J61" s="35">
        <f t="shared" si="27"/>
        <v>0</v>
      </c>
      <c r="K61" s="35">
        <v>22310</v>
      </c>
      <c r="L61" s="35">
        <v>17868</v>
      </c>
      <c r="M61" s="35">
        <v>0</v>
      </c>
      <c r="N61" s="35">
        <f>877+87</f>
        <v>964</v>
      </c>
      <c r="O61" s="35">
        <v>1841</v>
      </c>
      <c r="P61" s="35">
        <v>336</v>
      </c>
      <c r="Q61" s="147">
        <f t="shared" si="28"/>
        <v>43319</v>
      </c>
      <c r="R61" s="36">
        <f t="shared" si="29"/>
        <v>39.999076638965839</v>
      </c>
      <c r="S61" s="36">
        <f t="shared" si="30"/>
        <v>20.600184672206833</v>
      </c>
      <c r="T61" s="36">
        <f t="shared" si="31"/>
        <v>16.498614958448755</v>
      </c>
      <c r="U61" s="36">
        <f t="shared" si="32"/>
        <v>0.89012003693444142</v>
      </c>
      <c r="V61" s="36">
        <f t="shared" si="33"/>
        <v>1.6999076638965835</v>
      </c>
      <c r="W61" s="36">
        <f t="shared" si="34"/>
        <v>0.31024930747922436</v>
      </c>
    </row>
    <row r="62" spans="1:23" x14ac:dyDescent="0.2">
      <c r="A62" s="369"/>
      <c r="B62" s="33" t="s">
        <v>110</v>
      </c>
      <c r="C62" s="70">
        <v>44378</v>
      </c>
      <c r="D62" s="34">
        <v>44408</v>
      </c>
      <c r="E62" s="35">
        <v>0</v>
      </c>
      <c r="F62" s="35">
        <v>0</v>
      </c>
      <c r="G62" s="147">
        <v>1083</v>
      </c>
      <c r="H62" s="35">
        <v>0</v>
      </c>
      <c r="I62" s="35">
        <v>0</v>
      </c>
      <c r="J62" s="35">
        <f t="shared" si="27"/>
        <v>0</v>
      </c>
      <c r="K62" s="35">
        <v>22310</v>
      </c>
      <c r="L62" s="35">
        <v>17868</v>
      </c>
      <c r="M62" s="35">
        <v>0</v>
      </c>
      <c r="N62" s="35">
        <f>1570+87</f>
        <v>1657</v>
      </c>
      <c r="O62" s="35">
        <v>217</v>
      </c>
      <c r="P62" s="35">
        <v>336</v>
      </c>
      <c r="Q62" s="147">
        <f t="shared" si="28"/>
        <v>42388</v>
      </c>
      <c r="R62" s="36">
        <f t="shared" si="29"/>
        <v>39.139427516158818</v>
      </c>
      <c r="S62" s="36">
        <f t="shared" si="30"/>
        <v>20.600184672206833</v>
      </c>
      <c r="T62" s="36">
        <f t="shared" si="31"/>
        <v>16.498614958448755</v>
      </c>
      <c r="U62" s="36">
        <f t="shared" si="32"/>
        <v>1.5300092336103417</v>
      </c>
      <c r="V62" s="36">
        <f t="shared" si="33"/>
        <v>0.20036934441366575</v>
      </c>
      <c r="W62" s="36">
        <f t="shared" si="34"/>
        <v>0.31024930747922436</v>
      </c>
    </row>
    <row r="63" spans="1:23" x14ac:dyDescent="0.2">
      <c r="A63" s="369"/>
      <c r="B63" s="33" t="s">
        <v>111</v>
      </c>
      <c r="C63" s="70">
        <v>44409</v>
      </c>
      <c r="D63" s="34">
        <v>44439</v>
      </c>
      <c r="E63" s="35">
        <v>0</v>
      </c>
      <c r="F63" s="35">
        <v>0</v>
      </c>
      <c r="G63" s="147">
        <v>1083</v>
      </c>
      <c r="H63" s="35">
        <v>0</v>
      </c>
      <c r="I63" s="35">
        <v>0</v>
      </c>
      <c r="J63" s="35">
        <f t="shared" si="27"/>
        <v>0</v>
      </c>
      <c r="K63" s="35">
        <v>22310</v>
      </c>
      <c r="L63" s="35">
        <v>17868</v>
      </c>
      <c r="M63" s="35">
        <v>0</v>
      </c>
      <c r="N63" s="35">
        <v>1657</v>
      </c>
      <c r="O63" s="35">
        <v>0</v>
      </c>
      <c r="P63" s="35">
        <v>336</v>
      </c>
      <c r="Q63" s="147">
        <f t="shared" si="28"/>
        <v>42171</v>
      </c>
      <c r="R63" s="36">
        <f t="shared" si="29"/>
        <v>38.939058171745152</v>
      </c>
      <c r="S63" s="36">
        <f t="shared" si="30"/>
        <v>20.600184672206833</v>
      </c>
      <c r="T63" s="36">
        <f t="shared" si="31"/>
        <v>16.498614958448755</v>
      </c>
      <c r="U63" s="36">
        <f t="shared" si="32"/>
        <v>1.5300092336103417</v>
      </c>
      <c r="V63" s="36">
        <f t="shared" si="33"/>
        <v>0</v>
      </c>
      <c r="W63" s="36">
        <f t="shared" si="34"/>
        <v>0.31024930747922436</v>
      </c>
    </row>
    <row r="64" spans="1:23" x14ac:dyDescent="0.2">
      <c r="A64" s="369"/>
      <c r="B64" s="33" t="s">
        <v>112</v>
      </c>
      <c r="C64" s="70">
        <v>44440</v>
      </c>
      <c r="D64" s="34">
        <v>44469</v>
      </c>
      <c r="E64" s="35">
        <v>0</v>
      </c>
      <c r="F64" s="35">
        <v>0</v>
      </c>
      <c r="G64" s="147">
        <v>1083</v>
      </c>
      <c r="H64" s="35">
        <v>0</v>
      </c>
      <c r="I64" s="35">
        <v>0</v>
      </c>
      <c r="J64" s="35">
        <f t="shared" si="27"/>
        <v>0</v>
      </c>
      <c r="K64" s="35">
        <v>22310</v>
      </c>
      <c r="L64" s="35">
        <v>17868</v>
      </c>
      <c r="M64" s="35">
        <v>0</v>
      </c>
      <c r="N64" s="35">
        <v>1657</v>
      </c>
      <c r="O64" s="35">
        <v>0</v>
      </c>
      <c r="P64" s="35">
        <v>336</v>
      </c>
      <c r="Q64" s="147">
        <f t="shared" si="28"/>
        <v>42171</v>
      </c>
      <c r="R64" s="36">
        <f t="shared" si="29"/>
        <v>38.939058171745152</v>
      </c>
      <c r="S64" s="36">
        <f t="shared" si="30"/>
        <v>20.600184672206833</v>
      </c>
      <c r="T64" s="36">
        <f t="shared" si="31"/>
        <v>16.498614958448755</v>
      </c>
      <c r="U64" s="36">
        <f t="shared" si="32"/>
        <v>1.5300092336103417</v>
      </c>
      <c r="V64" s="36">
        <f t="shared" si="33"/>
        <v>0</v>
      </c>
      <c r="W64" s="36">
        <f t="shared" si="34"/>
        <v>0.31024930747922436</v>
      </c>
    </row>
    <row r="65" spans="1:23" x14ac:dyDescent="0.2">
      <c r="A65" s="369"/>
      <c r="B65" s="33" t="s">
        <v>113</v>
      </c>
      <c r="C65" s="70">
        <v>44470</v>
      </c>
      <c r="D65" s="34">
        <v>44500</v>
      </c>
      <c r="E65" s="35">
        <v>0</v>
      </c>
      <c r="F65" s="35">
        <v>0</v>
      </c>
      <c r="G65" s="147">
        <v>1083</v>
      </c>
      <c r="H65" s="35">
        <v>0</v>
      </c>
      <c r="I65" s="35">
        <v>0</v>
      </c>
      <c r="J65" s="35">
        <f t="shared" si="27"/>
        <v>0</v>
      </c>
      <c r="K65" s="35">
        <v>22310</v>
      </c>
      <c r="L65" s="35">
        <v>17868</v>
      </c>
      <c r="M65" s="35">
        <v>0</v>
      </c>
      <c r="N65" s="35">
        <v>1657</v>
      </c>
      <c r="O65" s="35">
        <v>0</v>
      </c>
      <c r="P65" s="35">
        <f>336+292</f>
        <v>628</v>
      </c>
      <c r="Q65" s="147">
        <f t="shared" si="28"/>
        <v>42463</v>
      </c>
      <c r="R65" s="36">
        <f t="shared" si="29"/>
        <v>39.208679593721143</v>
      </c>
      <c r="S65" s="36">
        <f t="shared" si="30"/>
        <v>20.600184672206833</v>
      </c>
      <c r="T65" s="36">
        <f t="shared" si="31"/>
        <v>16.498614958448755</v>
      </c>
      <c r="U65" s="36">
        <f t="shared" si="32"/>
        <v>1.5300092336103417</v>
      </c>
      <c r="V65" s="36">
        <f t="shared" si="33"/>
        <v>0</v>
      </c>
      <c r="W65" s="36">
        <f t="shared" si="34"/>
        <v>0.579870729455217</v>
      </c>
    </row>
    <row r="66" spans="1:23" x14ac:dyDescent="0.2">
      <c r="A66" s="369"/>
      <c r="B66" s="33" t="s">
        <v>114</v>
      </c>
      <c r="C66" s="161">
        <v>44501</v>
      </c>
      <c r="D66" s="162">
        <v>44530</v>
      </c>
      <c r="E66" s="144">
        <v>0</v>
      </c>
      <c r="F66" s="144">
        <v>0</v>
      </c>
      <c r="G66" s="147">
        <v>1083</v>
      </c>
      <c r="H66" s="144">
        <v>0</v>
      </c>
      <c r="I66" s="144">
        <v>0</v>
      </c>
      <c r="J66" s="144">
        <f t="shared" si="27"/>
        <v>0</v>
      </c>
      <c r="K66" s="35">
        <v>22310</v>
      </c>
      <c r="L66" s="35">
        <v>17868</v>
      </c>
      <c r="M66" s="35">
        <v>0</v>
      </c>
      <c r="N66" s="35">
        <v>1657</v>
      </c>
      <c r="O66" s="35">
        <v>0</v>
      </c>
      <c r="P66" s="35">
        <f>336+292</f>
        <v>628</v>
      </c>
      <c r="Q66" s="147">
        <f t="shared" si="28"/>
        <v>42463</v>
      </c>
      <c r="R66" s="298">
        <f t="shared" si="29"/>
        <v>39.208679593721143</v>
      </c>
      <c r="S66" s="298">
        <f t="shared" si="30"/>
        <v>20.600184672206833</v>
      </c>
      <c r="T66" s="298">
        <f t="shared" si="31"/>
        <v>16.498614958448755</v>
      </c>
      <c r="U66" s="298">
        <f t="shared" si="32"/>
        <v>1.5300092336103417</v>
      </c>
      <c r="V66" s="298">
        <f t="shared" si="33"/>
        <v>0</v>
      </c>
      <c r="W66" s="298">
        <f t="shared" si="34"/>
        <v>0.579870729455217</v>
      </c>
    </row>
    <row r="67" spans="1:23" x14ac:dyDescent="0.2">
      <c r="A67" s="369"/>
      <c r="B67" s="33" t="s">
        <v>349</v>
      </c>
      <c r="C67" s="330">
        <v>44531</v>
      </c>
      <c r="D67" s="331">
        <v>44561</v>
      </c>
      <c r="E67" s="145">
        <v>0</v>
      </c>
      <c r="F67" s="145">
        <v>0</v>
      </c>
      <c r="G67" s="148">
        <v>1083</v>
      </c>
      <c r="H67" s="145">
        <v>0</v>
      </c>
      <c r="I67" s="145">
        <v>0</v>
      </c>
      <c r="J67" s="145">
        <f t="shared" si="27"/>
        <v>0</v>
      </c>
      <c r="K67" s="35">
        <v>22310</v>
      </c>
      <c r="L67" s="35">
        <v>17868</v>
      </c>
      <c r="M67" s="35">
        <v>0</v>
      </c>
      <c r="N67" s="35">
        <v>1657</v>
      </c>
      <c r="O67" s="35">
        <v>0</v>
      </c>
      <c r="P67" s="35">
        <f>336+292</f>
        <v>628</v>
      </c>
      <c r="Q67" s="148">
        <f t="shared" si="28"/>
        <v>42463</v>
      </c>
      <c r="R67" s="332">
        <f t="shared" si="29"/>
        <v>39.208679593721143</v>
      </c>
      <c r="S67" s="332">
        <f t="shared" si="30"/>
        <v>20.600184672206833</v>
      </c>
      <c r="T67" s="332">
        <f t="shared" si="31"/>
        <v>16.498614958448755</v>
      </c>
      <c r="U67" s="298">
        <f t="shared" si="32"/>
        <v>1.5300092336103417</v>
      </c>
      <c r="V67" s="332">
        <f t="shared" si="33"/>
        <v>0</v>
      </c>
      <c r="W67" s="332">
        <f t="shared" si="34"/>
        <v>0.579870729455217</v>
      </c>
    </row>
    <row r="68" spans="1:23" ht="15" thickBot="1" x14ac:dyDescent="0.25">
      <c r="A68" s="383"/>
      <c r="B68" s="71" t="s">
        <v>440</v>
      </c>
      <c r="C68" s="72">
        <v>44288</v>
      </c>
      <c r="D68" s="73">
        <v>44561</v>
      </c>
      <c r="E68" s="74">
        <v>0</v>
      </c>
      <c r="F68" s="74">
        <v>0</v>
      </c>
      <c r="G68" s="193">
        <v>-5108</v>
      </c>
      <c r="H68" s="74">
        <v>0</v>
      </c>
      <c r="I68" s="74">
        <v>0</v>
      </c>
      <c r="J68" s="74">
        <f t="shared" si="27"/>
        <v>0</v>
      </c>
      <c r="K68" s="74">
        <v>-105224</v>
      </c>
      <c r="L68" s="74">
        <v>-83700</v>
      </c>
      <c r="M68" s="74">
        <v>0</v>
      </c>
      <c r="N68" s="74">
        <f>-1377-4938-411</f>
        <v>-6726</v>
      </c>
      <c r="O68" s="74">
        <f>-11190+6726</f>
        <v>-4464</v>
      </c>
      <c r="P68" s="74">
        <f>-1584-458</f>
        <v>-2042</v>
      </c>
      <c r="Q68" s="193">
        <f t="shared" si="28"/>
        <v>-202156</v>
      </c>
      <c r="R68" s="75">
        <f t="shared" si="29"/>
        <v>39.576350822239625</v>
      </c>
      <c r="S68" s="75">
        <f t="shared" si="30"/>
        <v>20.599843382928739</v>
      </c>
      <c r="T68" s="75">
        <f t="shared" si="31"/>
        <v>16.386061080657793</v>
      </c>
      <c r="U68" s="75">
        <f t="shared" si="32"/>
        <v>1.3167580266249022</v>
      </c>
      <c r="V68" s="75">
        <f t="shared" si="33"/>
        <v>0.87392325763508227</v>
      </c>
      <c r="W68" s="75">
        <f t="shared" si="34"/>
        <v>0.39976507439310882</v>
      </c>
    </row>
    <row r="69" spans="1:23" ht="27" customHeight="1" thickTop="1" thickBot="1" x14ac:dyDescent="0.25">
      <c r="A69" s="361" t="s">
        <v>6</v>
      </c>
      <c r="B69" s="362"/>
      <c r="C69" s="362"/>
      <c r="D69" s="363"/>
      <c r="E69" s="40"/>
      <c r="F69" s="40"/>
      <c r="G69" s="40">
        <f>SUM(G59:G68)</f>
        <v>4603</v>
      </c>
      <c r="H69" s="40">
        <f t="shared" ref="H69:Q69" si="35">SUM(H59:H68)</f>
        <v>0</v>
      </c>
      <c r="I69" s="40">
        <f t="shared" si="35"/>
        <v>0</v>
      </c>
      <c r="J69" s="40">
        <f t="shared" si="35"/>
        <v>0</v>
      </c>
      <c r="K69" s="40">
        <f t="shared" si="35"/>
        <v>94824.4</v>
      </c>
      <c r="L69" s="40">
        <f t="shared" si="35"/>
        <v>76522.067999999999</v>
      </c>
      <c r="M69" s="40">
        <f t="shared" si="35"/>
        <v>0</v>
      </c>
      <c r="N69" s="40">
        <f t="shared" si="35"/>
        <v>6075.83</v>
      </c>
      <c r="O69" s="40">
        <f t="shared" si="35"/>
        <v>3992</v>
      </c>
      <c r="P69" s="40">
        <f t="shared" si="35"/>
        <v>1847.0934999999999</v>
      </c>
      <c r="Q69" s="40">
        <f t="shared" si="35"/>
        <v>183261.39150000003</v>
      </c>
      <c r="R69" s="41">
        <f t="shared" si="29"/>
        <v>39.813467629806652</v>
      </c>
      <c r="S69" s="41">
        <f t="shared" si="30"/>
        <v>20.600564849011512</v>
      </c>
      <c r="T69" s="41">
        <f t="shared" si="31"/>
        <v>16.624390180317185</v>
      </c>
      <c r="U69" s="41">
        <f t="shared" si="32"/>
        <v>1.3199717575494243</v>
      </c>
      <c r="V69" s="41">
        <f t="shared" si="33"/>
        <v>0.86726048229415598</v>
      </c>
      <c r="W69" s="41">
        <f t="shared" si="34"/>
        <v>0.40128036063436889</v>
      </c>
    </row>
    <row r="70" spans="1:23" ht="15.75" thickTop="1" x14ac:dyDescent="0.25">
      <c r="A70" s="47" t="s">
        <v>86</v>
      </c>
      <c r="B70" s="382" t="s">
        <v>158</v>
      </c>
      <c r="C70" s="382"/>
      <c r="D70" s="382"/>
      <c r="E70" s="382"/>
      <c r="F70" s="382"/>
      <c r="G70" s="381" t="s">
        <v>87</v>
      </c>
      <c r="H70" s="381"/>
      <c r="I70" s="380" t="s">
        <v>160</v>
      </c>
      <c r="J70" s="380"/>
      <c r="K70" s="62" t="s">
        <v>100</v>
      </c>
      <c r="L70" s="381" t="s">
        <v>148</v>
      </c>
      <c r="M70" s="381"/>
      <c r="N70" s="381"/>
      <c r="O70" s="381"/>
      <c r="P70" s="67"/>
      <c r="Q70" s="67" t="s">
        <v>92</v>
      </c>
      <c r="S70" s="380" t="s">
        <v>159</v>
      </c>
      <c r="T70" s="380"/>
    </row>
    <row r="71" spans="1:23" ht="15" thickBot="1" x14ac:dyDescent="0.25"/>
    <row r="72" spans="1:23" ht="52.5" customHeight="1" thickTop="1" thickBot="1" x14ac:dyDescent="0.25">
      <c r="A72" s="384" t="s">
        <v>64</v>
      </c>
      <c r="B72" s="364" t="s">
        <v>0</v>
      </c>
      <c r="C72" s="360" t="s">
        <v>5</v>
      </c>
      <c r="D72" s="360"/>
      <c r="E72" s="360" t="s">
        <v>29</v>
      </c>
      <c r="F72" s="360" t="s">
        <v>30</v>
      </c>
      <c r="G72" s="364" t="s">
        <v>7</v>
      </c>
      <c r="H72" s="357" t="s">
        <v>8</v>
      </c>
      <c r="I72" s="358"/>
      <c r="J72" s="359"/>
      <c r="K72" s="357" t="s">
        <v>11</v>
      </c>
      <c r="L72" s="358"/>
      <c r="M72" s="358"/>
      <c r="N72" s="358"/>
      <c r="O72" s="358"/>
      <c r="P72" s="358"/>
      <c r="Q72" s="359"/>
      <c r="R72" s="357" t="s">
        <v>31</v>
      </c>
      <c r="S72" s="358"/>
      <c r="T72" s="358"/>
      <c r="U72" s="358"/>
      <c r="V72" s="358"/>
      <c r="W72" s="359"/>
    </row>
    <row r="73" spans="1:23" ht="111.75" customHeight="1" thickTop="1" thickBot="1" x14ac:dyDescent="0.25">
      <c r="A73" s="385"/>
      <c r="B73" s="365"/>
      <c r="C73" s="60" t="s">
        <v>3</v>
      </c>
      <c r="D73" s="60" t="s">
        <v>4</v>
      </c>
      <c r="E73" s="360"/>
      <c r="F73" s="360"/>
      <c r="G73" s="365"/>
      <c r="H73" s="60" t="s">
        <v>17</v>
      </c>
      <c r="I73" s="60" t="s">
        <v>68</v>
      </c>
      <c r="J73" s="60" t="s">
        <v>6</v>
      </c>
      <c r="K73" s="60" t="s">
        <v>9</v>
      </c>
      <c r="L73" s="60" t="s">
        <v>10</v>
      </c>
      <c r="M73" s="60" t="s">
        <v>12</v>
      </c>
      <c r="N73" s="60" t="s">
        <v>24</v>
      </c>
      <c r="O73" s="60" t="s">
        <v>25</v>
      </c>
      <c r="P73" s="60" t="s">
        <v>436</v>
      </c>
      <c r="Q73" s="60" t="s">
        <v>23</v>
      </c>
      <c r="R73" s="61" t="s">
        <v>6</v>
      </c>
      <c r="S73" s="61" t="s">
        <v>22</v>
      </c>
      <c r="T73" s="61" t="s">
        <v>20</v>
      </c>
      <c r="U73" s="61" t="s">
        <v>32</v>
      </c>
      <c r="V73" s="61" t="s">
        <v>33</v>
      </c>
      <c r="W73" s="294" t="s">
        <v>386</v>
      </c>
    </row>
    <row r="74" spans="1:23" ht="15" customHeight="1" thickTop="1" x14ac:dyDescent="0.2">
      <c r="A74" s="368" t="s">
        <v>161</v>
      </c>
      <c r="B74" s="29" t="s">
        <v>104</v>
      </c>
      <c r="C74" s="69">
        <v>44197</v>
      </c>
      <c r="D74" s="30">
        <v>44227</v>
      </c>
      <c r="E74" s="31">
        <v>0</v>
      </c>
      <c r="F74" s="31">
        <v>0</v>
      </c>
      <c r="G74" s="146">
        <f>4167-2189</f>
        <v>1978</v>
      </c>
      <c r="H74" s="31">
        <v>0</v>
      </c>
      <c r="I74" s="31">
        <v>0</v>
      </c>
      <c r="J74" s="31">
        <f>+I74+H74</f>
        <v>0</v>
      </c>
      <c r="K74" s="31">
        <f>85840-2189*20.6</f>
        <v>40746.6</v>
      </c>
      <c r="L74" s="31">
        <f>66256+121-2189*15.9</f>
        <v>31571.9</v>
      </c>
      <c r="M74" s="31">
        <v>0</v>
      </c>
      <c r="N74" s="31">
        <f>3375+333-2489*0.89</f>
        <v>1492.79</v>
      </c>
      <c r="O74" s="31">
        <f>6167-3240</f>
        <v>2927</v>
      </c>
      <c r="P74" s="31">
        <f>1294-2189*0.3105</f>
        <v>614.31550000000004</v>
      </c>
      <c r="Q74" s="146">
        <f>+P74+O74+N74+M74+L74+K74</f>
        <v>77352.605500000005</v>
      </c>
      <c r="R74" s="32">
        <f>+Q74/G74</f>
        <v>39.106473963599598</v>
      </c>
      <c r="S74" s="32">
        <f>+K74/G74</f>
        <v>20.59989888776542</v>
      </c>
      <c r="T74" s="32">
        <f>+L74/G74</f>
        <v>15.961526794742165</v>
      </c>
      <c r="U74" s="32">
        <f>+N74/G74</f>
        <v>0.75469666329625884</v>
      </c>
      <c r="V74" s="32">
        <f>+O74/G74</f>
        <v>1.4797775530839232</v>
      </c>
      <c r="W74" s="32">
        <f>+P74/G74</f>
        <v>0.31057406471183013</v>
      </c>
    </row>
    <row r="75" spans="1:23" x14ac:dyDescent="0.2">
      <c r="A75" s="369"/>
      <c r="B75" s="33" t="s">
        <v>105</v>
      </c>
      <c r="C75" s="70">
        <v>44228</v>
      </c>
      <c r="D75" s="34">
        <v>44255</v>
      </c>
      <c r="E75" s="35">
        <v>0</v>
      </c>
      <c r="F75" s="35">
        <v>0</v>
      </c>
      <c r="G75" s="147">
        <f>4167-2381</f>
        <v>1786</v>
      </c>
      <c r="H75" s="35">
        <v>0</v>
      </c>
      <c r="I75" s="35">
        <v>0</v>
      </c>
      <c r="J75" s="35">
        <f t="shared" ref="J75:J86" si="36">+I75+H75</f>
        <v>0</v>
      </c>
      <c r="K75" s="35">
        <f>85840-2381*20.6</f>
        <v>36791.399999999994</v>
      </c>
      <c r="L75" s="35">
        <f>66377-15.9*2381</f>
        <v>28519.1</v>
      </c>
      <c r="M75" s="35">
        <v>0</v>
      </c>
      <c r="N75" s="35">
        <f>3708-2381*0.89</f>
        <v>1588.9099999999999</v>
      </c>
      <c r="O75" s="35">
        <f>9751-5571</f>
        <v>4180</v>
      </c>
      <c r="P75" s="35">
        <f>1294-2381*0.3105</f>
        <v>554.69950000000006</v>
      </c>
      <c r="Q75" s="147">
        <f t="shared" ref="Q75:Q86" si="37">+P75+O75+N75+M75+L75+K75</f>
        <v>71634.109499999991</v>
      </c>
      <c r="R75" s="36">
        <f t="shared" ref="R75:R87" si="38">+Q75/G75</f>
        <v>40.108683930571104</v>
      </c>
      <c r="S75" s="36">
        <f t="shared" ref="S75:S87" si="39">+K75/G75</f>
        <v>20.599888017917131</v>
      </c>
      <c r="T75" s="36">
        <f t="shared" ref="T75:T87" si="40">+L75/G75</f>
        <v>15.968141097424411</v>
      </c>
      <c r="U75" s="36">
        <f t="shared" ref="U75:U87" si="41">+N75/G75</f>
        <v>0.88964725643896969</v>
      </c>
      <c r="V75" s="36">
        <f t="shared" ref="V75:V87" si="42">+O75/G75</f>
        <v>2.3404255319148937</v>
      </c>
      <c r="W75" s="36">
        <f t="shared" ref="W75:W87" si="43">+P75/G75</f>
        <v>0.31058202687569991</v>
      </c>
    </row>
    <row r="76" spans="1:23" x14ac:dyDescent="0.2">
      <c r="A76" s="369"/>
      <c r="B76" s="33" t="s">
        <v>106</v>
      </c>
      <c r="C76" s="70">
        <v>44256</v>
      </c>
      <c r="D76" s="34">
        <v>44286</v>
      </c>
      <c r="E76" s="35">
        <v>0</v>
      </c>
      <c r="F76" s="35">
        <v>0</v>
      </c>
      <c r="G76" s="147">
        <f>4167-2189</f>
        <v>1978</v>
      </c>
      <c r="H76" s="35">
        <v>0</v>
      </c>
      <c r="I76" s="35">
        <v>0</v>
      </c>
      <c r="J76" s="35">
        <f t="shared" si="36"/>
        <v>0</v>
      </c>
      <c r="K76" s="35">
        <f>85840-2189*20.6</f>
        <v>40746.6</v>
      </c>
      <c r="L76" s="35">
        <f>66377-2189*15.9</f>
        <v>31571.9</v>
      </c>
      <c r="M76" s="35">
        <v>0</v>
      </c>
      <c r="N76" s="35">
        <f>3708-2189*0.89</f>
        <v>1759.79</v>
      </c>
      <c r="O76" s="35">
        <f>12668-6655</f>
        <v>6013</v>
      </c>
      <c r="P76" s="35">
        <f>1294-2189*0.3105</f>
        <v>614.31550000000004</v>
      </c>
      <c r="Q76" s="147">
        <f t="shared" si="37"/>
        <v>80705.605500000005</v>
      </c>
      <c r="R76" s="36">
        <f t="shared" si="38"/>
        <v>40.801620576339737</v>
      </c>
      <c r="S76" s="36">
        <f t="shared" si="39"/>
        <v>20.59989888776542</v>
      </c>
      <c r="T76" s="36">
        <f t="shared" si="40"/>
        <v>15.961526794742165</v>
      </c>
      <c r="U76" s="36">
        <f t="shared" si="41"/>
        <v>0.88968149646107175</v>
      </c>
      <c r="V76" s="36">
        <f t="shared" si="42"/>
        <v>3.0399393326592516</v>
      </c>
      <c r="W76" s="36">
        <f t="shared" si="43"/>
        <v>0.31057406471183013</v>
      </c>
    </row>
    <row r="77" spans="1:23" x14ac:dyDescent="0.2">
      <c r="A77" s="369"/>
      <c r="B77" s="33" t="s">
        <v>107</v>
      </c>
      <c r="C77" s="70">
        <v>44287</v>
      </c>
      <c r="D77" s="34">
        <v>44316</v>
      </c>
      <c r="E77" s="35">
        <v>0</v>
      </c>
      <c r="F77" s="35">
        <v>0</v>
      </c>
      <c r="G77" s="147">
        <f>4167-75</f>
        <v>4092</v>
      </c>
      <c r="H77" s="35">
        <v>0</v>
      </c>
      <c r="I77" s="35">
        <v>0</v>
      </c>
      <c r="J77" s="35">
        <f t="shared" si="36"/>
        <v>0</v>
      </c>
      <c r="K77" s="35">
        <f>85840-75*20.6</f>
        <v>84295</v>
      </c>
      <c r="L77" s="35">
        <f>68284+121-16.387*75</f>
        <v>67175.975000000006</v>
      </c>
      <c r="M77" s="35">
        <v>0</v>
      </c>
      <c r="N77" s="35">
        <f>3375+333-75*0.89</f>
        <v>3641.25</v>
      </c>
      <c r="O77" s="35">
        <f>11543-208</f>
        <v>11335</v>
      </c>
      <c r="P77" s="35">
        <f>1294-75*0.3105</f>
        <v>1270.7125000000001</v>
      </c>
      <c r="Q77" s="147">
        <f t="shared" si="37"/>
        <v>167717.9375</v>
      </c>
      <c r="R77" s="36">
        <f t="shared" si="38"/>
        <v>40.986788245356792</v>
      </c>
      <c r="S77" s="36">
        <f t="shared" si="39"/>
        <v>20.599951124144674</v>
      </c>
      <c r="T77" s="36">
        <f t="shared" si="40"/>
        <v>16.416416177908115</v>
      </c>
      <c r="U77" s="36">
        <f t="shared" si="41"/>
        <v>0.88984604105571852</v>
      </c>
      <c r="V77" s="36">
        <f t="shared" si="42"/>
        <v>2.770039100684262</v>
      </c>
      <c r="W77" s="36">
        <f t="shared" si="43"/>
        <v>0.31053580156402738</v>
      </c>
    </row>
    <row r="78" spans="1:23" x14ac:dyDescent="0.2">
      <c r="A78" s="369"/>
      <c r="B78" s="33" t="s">
        <v>108</v>
      </c>
      <c r="C78" s="70">
        <v>44317</v>
      </c>
      <c r="D78" s="34">
        <v>44347</v>
      </c>
      <c r="E78" s="35">
        <v>0</v>
      </c>
      <c r="F78" s="35">
        <v>0</v>
      </c>
      <c r="G78" s="147">
        <v>4167</v>
      </c>
      <c r="H78" s="35">
        <v>0</v>
      </c>
      <c r="I78" s="35">
        <v>0</v>
      </c>
      <c r="J78" s="35">
        <f t="shared" si="36"/>
        <v>0</v>
      </c>
      <c r="K78" s="35">
        <v>85840</v>
      </c>
      <c r="L78" s="35">
        <f>11613+56671+121</f>
        <v>68405</v>
      </c>
      <c r="M78" s="35">
        <v>0</v>
      </c>
      <c r="N78" s="35">
        <f>0.89*G78</f>
        <v>3708.63</v>
      </c>
      <c r="O78" s="35">
        <v>13459</v>
      </c>
      <c r="P78" s="35">
        <v>1294</v>
      </c>
      <c r="Q78" s="147">
        <f t="shared" si="37"/>
        <v>172706.63</v>
      </c>
      <c r="R78" s="36">
        <f t="shared" si="38"/>
        <v>41.446275497960166</v>
      </c>
      <c r="S78" s="36">
        <f t="shared" si="39"/>
        <v>20.599952003839693</v>
      </c>
      <c r="T78" s="36">
        <f t="shared" si="40"/>
        <v>16.415886729061675</v>
      </c>
      <c r="U78" s="36">
        <f t="shared" si="41"/>
        <v>0.89</v>
      </c>
      <c r="V78" s="36">
        <f t="shared" si="42"/>
        <v>3.2299016078713705</v>
      </c>
      <c r="W78" s="36">
        <f t="shared" si="43"/>
        <v>0.31053515718742503</v>
      </c>
    </row>
    <row r="79" spans="1:23" x14ac:dyDescent="0.2">
      <c r="A79" s="369"/>
      <c r="B79" s="33" t="s">
        <v>109</v>
      </c>
      <c r="C79" s="70">
        <v>44348</v>
      </c>
      <c r="D79" s="34">
        <v>44377</v>
      </c>
      <c r="E79" s="35">
        <v>0</v>
      </c>
      <c r="F79" s="35">
        <v>0</v>
      </c>
      <c r="G79" s="147">
        <v>4167</v>
      </c>
      <c r="H79" s="35">
        <v>0</v>
      </c>
      <c r="I79" s="35">
        <v>0</v>
      </c>
      <c r="J79" s="35">
        <f t="shared" si="36"/>
        <v>0</v>
      </c>
      <c r="K79" s="35">
        <v>85840</v>
      </c>
      <c r="L79" s="35">
        <v>68405</v>
      </c>
      <c r="M79" s="35">
        <v>0</v>
      </c>
      <c r="N79" s="35">
        <v>3709</v>
      </c>
      <c r="O79" s="35">
        <v>7084</v>
      </c>
      <c r="P79" s="35">
        <v>1294</v>
      </c>
      <c r="Q79" s="147">
        <f t="shared" si="37"/>
        <v>166332</v>
      </c>
      <c r="R79" s="36">
        <f t="shared" si="38"/>
        <v>39.916486681065514</v>
      </c>
      <c r="S79" s="36">
        <f t="shared" si="39"/>
        <v>20.599952003839693</v>
      </c>
      <c r="T79" s="36">
        <f t="shared" si="40"/>
        <v>16.415886729061675</v>
      </c>
      <c r="U79" s="36">
        <f t="shared" si="41"/>
        <v>0.89008879289656828</v>
      </c>
      <c r="V79" s="36">
        <f t="shared" si="42"/>
        <v>1.7000239980801537</v>
      </c>
      <c r="W79" s="36">
        <f t="shared" si="43"/>
        <v>0.31053515718742503</v>
      </c>
    </row>
    <row r="80" spans="1:23" x14ac:dyDescent="0.2">
      <c r="A80" s="369"/>
      <c r="B80" s="33" t="s">
        <v>110</v>
      </c>
      <c r="C80" s="70">
        <v>44378</v>
      </c>
      <c r="D80" s="34">
        <v>44408</v>
      </c>
      <c r="E80" s="35">
        <v>0</v>
      </c>
      <c r="F80" s="35">
        <v>0</v>
      </c>
      <c r="G80" s="147">
        <v>4167</v>
      </c>
      <c r="H80" s="35">
        <v>0</v>
      </c>
      <c r="I80" s="35">
        <v>0</v>
      </c>
      <c r="J80" s="35">
        <f t="shared" si="36"/>
        <v>0</v>
      </c>
      <c r="K80" s="35">
        <v>85840</v>
      </c>
      <c r="L80" s="35">
        <v>68405</v>
      </c>
      <c r="M80" s="35">
        <v>0</v>
      </c>
      <c r="N80" s="35">
        <f>6042+333</f>
        <v>6375</v>
      </c>
      <c r="O80" s="35">
        <v>833</v>
      </c>
      <c r="P80" s="35">
        <v>1294</v>
      </c>
      <c r="Q80" s="147">
        <f t="shared" si="37"/>
        <v>162747</v>
      </c>
      <c r="R80" s="36">
        <f t="shared" si="38"/>
        <v>39.056155507559396</v>
      </c>
      <c r="S80" s="36">
        <f t="shared" si="39"/>
        <v>20.599952003839693</v>
      </c>
      <c r="T80" s="36">
        <f t="shared" si="40"/>
        <v>16.415886729061675</v>
      </c>
      <c r="U80" s="36">
        <f t="shared" si="41"/>
        <v>1.5298776097912168</v>
      </c>
      <c r="V80" s="36">
        <f t="shared" si="42"/>
        <v>0.19990400767938565</v>
      </c>
      <c r="W80" s="36">
        <f t="shared" si="43"/>
        <v>0.31053515718742503</v>
      </c>
    </row>
    <row r="81" spans="1:23" x14ac:dyDescent="0.2">
      <c r="A81" s="369"/>
      <c r="B81" s="33" t="s">
        <v>111</v>
      </c>
      <c r="C81" s="70">
        <v>44409</v>
      </c>
      <c r="D81" s="34">
        <v>44439</v>
      </c>
      <c r="E81" s="35">
        <v>0</v>
      </c>
      <c r="F81" s="35">
        <v>0</v>
      </c>
      <c r="G81" s="147">
        <v>4167</v>
      </c>
      <c r="H81" s="35">
        <v>0</v>
      </c>
      <c r="I81" s="35">
        <v>0</v>
      </c>
      <c r="J81" s="35">
        <f t="shared" si="36"/>
        <v>0</v>
      </c>
      <c r="K81" s="35">
        <v>85840</v>
      </c>
      <c r="L81" s="35">
        <v>68405</v>
      </c>
      <c r="M81" s="35">
        <v>0</v>
      </c>
      <c r="N81" s="35">
        <v>6375</v>
      </c>
      <c r="O81" s="35">
        <v>0</v>
      </c>
      <c r="P81" s="35">
        <v>1294</v>
      </c>
      <c r="Q81" s="147">
        <f t="shared" si="37"/>
        <v>161914</v>
      </c>
      <c r="R81" s="36">
        <f t="shared" si="38"/>
        <v>38.85625149988001</v>
      </c>
      <c r="S81" s="36">
        <f t="shared" si="39"/>
        <v>20.599952003839693</v>
      </c>
      <c r="T81" s="36">
        <f t="shared" si="40"/>
        <v>16.415886729061675</v>
      </c>
      <c r="U81" s="36">
        <f t="shared" si="41"/>
        <v>1.5298776097912168</v>
      </c>
      <c r="V81" s="36">
        <f t="shared" si="42"/>
        <v>0</v>
      </c>
      <c r="W81" s="36">
        <f t="shared" si="43"/>
        <v>0.31053515718742503</v>
      </c>
    </row>
    <row r="82" spans="1:23" x14ac:dyDescent="0.2">
      <c r="A82" s="369"/>
      <c r="B82" s="33" t="s">
        <v>112</v>
      </c>
      <c r="C82" s="70">
        <v>44440</v>
      </c>
      <c r="D82" s="34">
        <v>44469</v>
      </c>
      <c r="E82" s="35">
        <v>0</v>
      </c>
      <c r="F82" s="35">
        <v>0</v>
      </c>
      <c r="G82" s="147">
        <v>4167</v>
      </c>
      <c r="H82" s="35">
        <v>0</v>
      </c>
      <c r="I82" s="35">
        <v>0</v>
      </c>
      <c r="J82" s="35">
        <f t="shared" si="36"/>
        <v>0</v>
      </c>
      <c r="K82" s="35">
        <v>85840</v>
      </c>
      <c r="L82" s="35">
        <v>68405</v>
      </c>
      <c r="M82" s="35">
        <v>0</v>
      </c>
      <c r="N82" s="35">
        <v>6375</v>
      </c>
      <c r="O82" s="35">
        <v>0</v>
      </c>
      <c r="P82" s="35">
        <v>1294</v>
      </c>
      <c r="Q82" s="147">
        <f t="shared" si="37"/>
        <v>161914</v>
      </c>
      <c r="R82" s="36">
        <f t="shared" si="38"/>
        <v>38.85625149988001</v>
      </c>
      <c r="S82" s="36">
        <f t="shared" si="39"/>
        <v>20.599952003839693</v>
      </c>
      <c r="T82" s="36">
        <f t="shared" si="40"/>
        <v>16.415886729061675</v>
      </c>
      <c r="U82" s="36">
        <f t="shared" si="41"/>
        <v>1.5298776097912168</v>
      </c>
      <c r="V82" s="36">
        <f t="shared" si="42"/>
        <v>0</v>
      </c>
      <c r="W82" s="36">
        <f t="shared" si="43"/>
        <v>0.31053515718742503</v>
      </c>
    </row>
    <row r="83" spans="1:23" x14ac:dyDescent="0.2">
      <c r="A83" s="369"/>
      <c r="B83" s="33" t="s">
        <v>113</v>
      </c>
      <c r="C83" s="70">
        <v>44470</v>
      </c>
      <c r="D83" s="34">
        <v>44500</v>
      </c>
      <c r="E83" s="35">
        <v>0</v>
      </c>
      <c r="F83" s="35">
        <v>0</v>
      </c>
      <c r="G83" s="147">
        <v>4167</v>
      </c>
      <c r="H83" s="35">
        <v>0</v>
      </c>
      <c r="I83" s="35">
        <v>0</v>
      </c>
      <c r="J83" s="35">
        <f t="shared" si="36"/>
        <v>0</v>
      </c>
      <c r="K83" s="35">
        <v>85840</v>
      </c>
      <c r="L83" s="35">
        <v>68405</v>
      </c>
      <c r="M83" s="35">
        <v>0</v>
      </c>
      <c r="N83" s="35">
        <v>6375</v>
      </c>
      <c r="O83" s="35">
        <v>0</v>
      </c>
      <c r="P83" s="35">
        <f>1294+1125</f>
        <v>2419</v>
      </c>
      <c r="Q83" s="147">
        <f t="shared" si="37"/>
        <v>163039</v>
      </c>
      <c r="R83" s="36">
        <f t="shared" si="38"/>
        <v>39.126229901607871</v>
      </c>
      <c r="S83" s="36">
        <f t="shared" si="39"/>
        <v>20.599952003839693</v>
      </c>
      <c r="T83" s="36">
        <f t="shared" si="40"/>
        <v>16.415886729061675</v>
      </c>
      <c r="U83" s="36">
        <f t="shared" si="41"/>
        <v>1.5298776097912168</v>
      </c>
      <c r="V83" s="36">
        <f t="shared" si="42"/>
        <v>0</v>
      </c>
      <c r="W83" s="36">
        <f t="shared" si="43"/>
        <v>0.58051355891528678</v>
      </c>
    </row>
    <row r="84" spans="1:23" x14ac:dyDescent="0.2">
      <c r="A84" s="369"/>
      <c r="B84" s="33" t="s">
        <v>114</v>
      </c>
      <c r="C84" s="299">
        <v>44501</v>
      </c>
      <c r="D84" s="300">
        <v>44530</v>
      </c>
      <c r="E84" s="301">
        <v>0</v>
      </c>
      <c r="F84" s="301">
        <v>0</v>
      </c>
      <c r="G84" s="303">
        <v>4167</v>
      </c>
      <c r="H84" s="301">
        <v>0</v>
      </c>
      <c r="I84" s="301">
        <v>0</v>
      </c>
      <c r="J84" s="301">
        <f t="shared" si="36"/>
        <v>0</v>
      </c>
      <c r="K84" s="35">
        <v>85840</v>
      </c>
      <c r="L84" s="35">
        <v>68405</v>
      </c>
      <c r="M84" s="35">
        <v>0</v>
      </c>
      <c r="N84" s="35">
        <v>6375</v>
      </c>
      <c r="O84" s="35">
        <v>0</v>
      </c>
      <c r="P84" s="35">
        <f>1294+1125</f>
        <v>2419</v>
      </c>
      <c r="Q84" s="303">
        <f t="shared" si="37"/>
        <v>163039</v>
      </c>
      <c r="R84" s="302">
        <f t="shared" si="38"/>
        <v>39.126229901607871</v>
      </c>
      <c r="S84" s="302">
        <f t="shared" si="39"/>
        <v>20.599952003839693</v>
      </c>
      <c r="T84" s="302">
        <f t="shared" si="40"/>
        <v>16.415886729061675</v>
      </c>
      <c r="U84" s="302">
        <f t="shared" si="41"/>
        <v>1.5298776097912168</v>
      </c>
      <c r="V84" s="302">
        <f t="shared" si="42"/>
        <v>0</v>
      </c>
      <c r="W84" s="302">
        <f t="shared" si="43"/>
        <v>0.58051355891528678</v>
      </c>
    </row>
    <row r="85" spans="1:23" x14ac:dyDescent="0.2">
      <c r="A85" s="369"/>
      <c r="B85" s="33" t="s">
        <v>349</v>
      </c>
      <c r="C85" s="335">
        <v>44531</v>
      </c>
      <c r="D85" s="336">
        <v>44561</v>
      </c>
      <c r="E85" s="337">
        <v>0</v>
      </c>
      <c r="F85" s="337">
        <v>0</v>
      </c>
      <c r="G85" s="338">
        <v>4167</v>
      </c>
      <c r="H85" s="337">
        <v>0</v>
      </c>
      <c r="I85" s="337">
        <v>0</v>
      </c>
      <c r="J85" s="337">
        <f t="shared" si="36"/>
        <v>0</v>
      </c>
      <c r="K85" s="35">
        <v>85840</v>
      </c>
      <c r="L85" s="35">
        <v>68405</v>
      </c>
      <c r="M85" s="35">
        <v>0</v>
      </c>
      <c r="N85" s="35">
        <v>6375</v>
      </c>
      <c r="O85" s="35">
        <v>0</v>
      </c>
      <c r="P85" s="35">
        <f>1294+1125</f>
        <v>2419</v>
      </c>
      <c r="Q85" s="338">
        <f t="shared" si="37"/>
        <v>163039</v>
      </c>
      <c r="R85" s="339">
        <f t="shared" si="38"/>
        <v>39.126229901607871</v>
      </c>
      <c r="S85" s="339">
        <f t="shared" si="39"/>
        <v>20.599952003839693</v>
      </c>
      <c r="T85" s="339">
        <f t="shared" si="40"/>
        <v>16.415886729061675</v>
      </c>
      <c r="U85" s="302">
        <f t="shared" si="41"/>
        <v>1.5298776097912168</v>
      </c>
      <c r="V85" s="339">
        <f t="shared" si="42"/>
        <v>0</v>
      </c>
      <c r="W85" s="339">
        <f t="shared" si="43"/>
        <v>0.58051355891528678</v>
      </c>
    </row>
    <row r="86" spans="1:23" ht="15" thickBot="1" x14ac:dyDescent="0.25">
      <c r="A86" s="383"/>
      <c r="B86" s="71" t="s">
        <v>440</v>
      </c>
      <c r="C86" s="72">
        <v>44288</v>
      </c>
      <c r="D86" s="73">
        <v>44561</v>
      </c>
      <c r="E86" s="74">
        <v>0</v>
      </c>
      <c r="F86" s="74">
        <v>0</v>
      </c>
      <c r="G86" s="193">
        <v>-8953</v>
      </c>
      <c r="H86" s="74">
        <v>0</v>
      </c>
      <c r="I86" s="74">
        <v>0</v>
      </c>
      <c r="J86" s="74">
        <f t="shared" si="36"/>
        <v>0</v>
      </c>
      <c r="K86" s="74">
        <v>-184435</v>
      </c>
      <c r="L86" s="74">
        <v>-146709</v>
      </c>
      <c r="M86" s="74">
        <v>0</v>
      </c>
      <c r="N86" s="74">
        <f>-2453-8586-713</f>
        <v>-11752</v>
      </c>
      <c r="O86" s="74">
        <f>-19644+11752</f>
        <v>-7892</v>
      </c>
      <c r="P86" s="74">
        <f>-2781-799</f>
        <v>-3580</v>
      </c>
      <c r="Q86" s="193">
        <f t="shared" si="37"/>
        <v>-354368</v>
      </c>
      <c r="R86" s="75">
        <f t="shared" si="38"/>
        <v>39.580922595777949</v>
      </c>
      <c r="S86" s="75">
        <f t="shared" si="39"/>
        <v>20.600357422093154</v>
      </c>
      <c r="T86" s="75">
        <f t="shared" si="40"/>
        <v>16.386574332625937</v>
      </c>
      <c r="U86" s="75">
        <f t="shared" si="41"/>
        <v>1.3126326371048811</v>
      </c>
      <c r="V86" s="75">
        <f t="shared" si="42"/>
        <v>0.88149223723891434</v>
      </c>
      <c r="W86" s="75">
        <f t="shared" si="43"/>
        <v>0.39986596671506758</v>
      </c>
    </row>
    <row r="87" spans="1:23" ht="27" customHeight="1" thickTop="1" thickBot="1" x14ac:dyDescent="0.25">
      <c r="A87" s="361" t="s">
        <v>6</v>
      </c>
      <c r="B87" s="362"/>
      <c r="C87" s="362"/>
      <c r="D87" s="363"/>
      <c r="E87" s="40"/>
      <c r="F87" s="40"/>
      <c r="G87" s="40">
        <f>SUM(G74:G86)</f>
        <v>34217</v>
      </c>
      <c r="H87" s="40">
        <f t="shared" ref="H87:Q87" si="44">SUM(H74:H86)</f>
        <v>0</v>
      </c>
      <c r="I87" s="40">
        <f t="shared" si="44"/>
        <v>0</v>
      </c>
      <c r="J87" s="40">
        <f t="shared" si="44"/>
        <v>0</v>
      </c>
      <c r="K87" s="40">
        <f t="shared" si="44"/>
        <v>704864.6</v>
      </c>
      <c r="L87" s="40">
        <f t="shared" si="44"/>
        <v>559369.875</v>
      </c>
      <c r="M87" s="40">
        <f t="shared" si="44"/>
        <v>0</v>
      </c>
      <c r="N87" s="40">
        <f t="shared" si="44"/>
        <v>42398.369999999995</v>
      </c>
      <c r="O87" s="40">
        <f t="shared" si="44"/>
        <v>37939</v>
      </c>
      <c r="P87" s="40">
        <f t="shared" si="44"/>
        <v>13201.042999999998</v>
      </c>
      <c r="Q87" s="40">
        <f t="shared" si="44"/>
        <v>1357772.888</v>
      </c>
      <c r="R87" s="41">
        <f t="shared" si="38"/>
        <v>39.681237045912852</v>
      </c>
      <c r="S87" s="41">
        <f t="shared" si="39"/>
        <v>20.599836338662069</v>
      </c>
      <c r="T87" s="41">
        <f t="shared" si="40"/>
        <v>16.347718239471607</v>
      </c>
      <c r="U87" s="41">
        <f t="shared" si="41"/>
        <v>1.2391024929128793</v>
      </c>
      <c r="V87" s="41">
        <f t="shared" si="42"/>
        <v>1.1087763392465733</v>
      </c>
      <c r="W87" s="41">
        <f t="shared" si="43"/>
        <v>0.38580363561972114</v>
      </c>
    </row>
    <row r="88" spans="1:23" ht="15.75" thickTop="1" x14ac:dyDescent="0.25">
      <c r="A88" s="47" t="s">
        <v>86</v>
      </c>
      <c r="B88" s="382" t="s">
        <v>162</v>
      </c>
      <c r="C88" s="382"/>
      <c r="D88" s="382"/>
      <c r="E88" s="382"/>
      <c r="F88" s="382"/>
      <c r="G88" s="381" t="s">
        <v>87</v>
      </c>
      <c r="H88" s="381"/>
      <c r="I88" s="380" t="s">
        <v>424</v>
      </c>
      <c r="J88" s="380"/>
      <c r="K88" s="62" t="s">
        <v>100</v>
      </c>
      <c r="L88" s="381" t="s">
        <v>148</v>
      </c>
      <c r="M88" s="381"/>
      <c r="N88" s="381"/>
      <c r="O88" s="381"/>
      <c r="P88" s="67"/>
      <c r="Q88" s="67" t="s">
        <v>92</v>
      </c>
      <c r="S88" s="380" t="s">
        <v>163</v>
      </c>
      <c r="T88" s="380"/>
    </row>
    <row r="89" spans="1:23" ht="15" thickBot="1" x14ac:dyDescent="0.25"/>
    <row r="90" spans="1:23" ht="52.5" customHeight="1" thickTop="1" thickBot="1" x14ac:dyDescent="0.25">
      <c r="A90" s="384" t="s">
        <v>64</v>
      </c>
      <c r="B90" s="364" t="s">
        <v>0</v>
      </c>
      <c r="C90" s="360" t="s">
        <v>5</v>
      </c>
      <c r="D90" s="360"/>
      <c r="E90" s="360" t="s">
        <v>29</v>
      </c>
      <c r="F90" s="360" t="s">
        <v>30</v>
      </c>
      <c r="G90" s="364" t="s">
        <v>7</v>
      </c>
      <c r="H90" s="357" t="s">
        <v>8</v>
      </c>
      <c r="I90" s="358"/>
      <c r="J90" s="359"/>
      <c r="K90" s="357" t="s">
        <v>11</v>
      </c>
      <c r="L90" s="358"/>
      <c r="M90" s="358"/>
      <c r="N90" s="358"/>
      <c r="O90" s="358"/>
      <c r="P90" s="358"/>
      <c r="Q90" s="359"/>
      <c r="R90" s="357" t="s">
        <v>31</v>
      </c>
      <c r="S90" s="358"/>
      <c r="T90" s="358"/>
      <c r="U90" s="358"/>
      <c r="V90" s="358"/>
      <c r="W90" s="359"/>
    </row>
    <row r="91" spans="1:23" ht="111.75" customHeight="1" thickTop="1" thickBot="1" x14ac:dyDescent="0.25">
      <c r="A91" s="385"/>
      <c r="B91" s="365"/>
      <c r="C91" s="60" t="s">
        <v>3</v>
      </c>
      <c r="D91" s="60" t="s">
        <v>4</v>
      </c>
      <c r="E91" s="360"/>
      <c r="F91" s="360"/>
      <c r="G91" s="365"/>
      <c r="H91" s="60" t="s">
        <v>17</v>
      </c>
      <c r="I91" s="60" t="s">
        <v>68</v>
      </c>
      <c r="J91" s="60" t="s">
        <v>6</v>
      </c>
      <c r="K91" s="60" t="s">
        <v>9</v>
      </c>
      <c r="L91" s="60" t="s">
        <v>10</v>
      </c>
      <c r="M91" s="60" t="s">
        <v>12</v>
      </c>
      <c r="N91" s="60" t="s">
        <v>24</v>
      </c>
      <c r="O91" s="60" t="s">
        <v>25</v>
      </c>
      <c r="P91" s="60" t="s">
        <v>436</v>
      </c>
      <c r="Q91" s="60" t="s">
        <v>23</v>
      </c>
      <c r="R91" s="61" t="s">
        <v>6</v>
      </c>
      <c r="S91" s="61" t="s">
        <v>22</v>
      </c>
      <c r="T91" s="61" t="s">
        <v>20</v>
      </c>
      <c r="U91" s="61" t="s">
        <v>32</v>
      </c>
      <c r="V91" s="61" t="s">
        <v>33</v>
      </c>
      <c r="W91" s="294" t="s">
        <v>386</v>
      </c>
    </row>
    <row r="92" spans="1:23" ht="15" customHeight="1" thickTop="1" x14ac:dyDescent="0.2">
      <c r="A92" s="368" t="s">
        <v>164</v>
      </c>
      <c r="B92" s="29" t="s">
        <v>104</v>
      </c>
      <c r="C92" s="295">
        <v>44197</v>
      </c>
      <c r="D92" s="176">
        <v>44227</v>
      </c>
      <c r="E92" s="31">
        <v>0</v>
      </c>
      <c r="F92" s="31">
        <v>0</v>
      </c>
      <c r="G92" s="146">
        <f>583-436</f>
        <v>147</v>
      </c>
      <c r="H92" s="31">
        <v>0</v>
      </c>
      <c r="I92" s="31">
        <v>0</v>
      </c>
      <c r="J92" s="31">
        <f>+I92+H92</f>
        <v>0</v>
      </c>
      <c r="K92" s="31">
        <f>12010-436*20.6</f>
        <v>3028.3999999999996</v>
      </c>
      <c r="L92" s="31">
        <f>9269+121-15.9*436</f>
        <v>2457.5999999999995</v>
      </c>
      <c r="M92" s="31">
        <v>0</v>
      </c>
      <c r="N92" s="31">
        <f>472+47-436*0.89</f>
        <v>130.95999999999998</v>
      </c>
      <c r="O92" s="31">
        <f>863-645</f>
        <v>218</v>
      </c>
      <c r="P92" s="31">
        <f>181-0.3105*436</f>
        <v>45.622000000000014</v>
      </c>
      <c r="Q92" s="146">
        <f>+P92+O92+N92+M92+L92+K92</f>
        <v>5880.5819999999985</v>
      </c>
      <c r="R92" s="32">
        <f>+Q92/G92</f>
        <v>40.003959183673459</v>
      </c>
      <c r="S92" s="32">
        <f>+K92/G92</f>
        <v>20.601360544217684</v>
      </c>
      <c r="T92" s="32">
        <f>+L92/G92</f>
        <v>16.718367346938773</v>
      </c>
      <c r="U92" s="32">
        <f>+N92/G92</f>
        <v>0.89088435374149644</v>
      </c>
      <c r="V92" s="32">
        <f>+O92/G92</f>
        <v>1.4829931972789117</v>
      </c>
      <c r="W92" s="32">
        <f>+P92/G92</f>
        <v>0.31035374149659872</v>
      </c>
    </row>
    <row r="93" spans="1:23" x14ac:dyDescent="0.2">
      <c r="A93" s="369"/>
      <c r="B93" s="33" t="s">
        <v>105</v>
      </c>
      <c r="C93" s="161">
        <v>44228</v>
      </c>
      <c r="D93" s="162">
        <v>44255</v>
      </c>
      <c r="E93" s="35">
        <v>0</v>
      </c>
      <c r="F93" s="35">
        <v>0</v>
      </c>
      <c r="G93" s="147">
        <f>583-450</f>
        <v>133</v>
      </c>
      <c r="H93" s="35">
        <v>0</v>
      </c>
      <c r="I93" s="35">
        <v>0</v>
      </c>
      <c r="J93" s="35">
        <f t="shared" ref="J93:J104" si="45">+I93+H93</f>
        <v>0</v>
      </c>
      <c r="K93" s="35">
        <f>12010-450*20.6</f>
        <v>2740</v>
      </c>
      <c r="L93" s="35">
        <f>9269+121-15.9*450</f>
        <v>2235</v>
      </c>
      <c r="M93" s="35">
        <v>0</v>
      </c>
      <c r="N93" s="35">
        <f>472+47-0.89*450</f>
        <v>118.5</v>
      </c>
      <c r="O93" s="35">
        <f>1364-1053</f>
        <v>311</v>
      </c>
      <c r="P93" s="35">
        <f>181-450*0.3105</f>
        <v>41.275000000000006</v>
      </c>
      <c r="Q93" s="147">
        <f t="shared" ref="Q93:Q104" si="46">+P93+O93+N93+M93+L93+K93</f>
        <v>5445.7749999999996</v>
      </c>
      <c r="R93" s="36">
        <f t="shared" ref="R93:R105" si="47">+Q93/G93</f>
        <v>40.945676691729318</v>
      </c>
      <c r="S93" s="36">
        <f t="shared" ref="S93:S105" si="48">+K93/G93</f>
        <v>20.601503759398497</v>
      </c>
      <c r="T93" s="36">
        <f t="shared" ref="T93:T105" si="49">+L93/G93</f>
        <v>16.804511278195488</v>
      </c>
      <c r="U93" s="36">
        <f t="shared" ref="U93:U105" si="50">+N93/G93</f>
        <v>0.89097744360902253</v>
      </c>
      <c r="V93" s="36">
        <f t="shared" ref="V93:V105" si="51">+O93/G93</f>
        <v>2.3383458646616542</v>
      </c>
      <c r="W93" s="36">
        <f t="shared" ref="W93:W105" si="52">+P93/G93</f>
        <v>0.31033834586466169</v>
      </c>
    </row>
    <row r="94" spans="1:23" x14ac:dyDescent="0.2">
      <c r="A94" s="369"/>
      <c r="B94" s="33" t="s">
        <v>106</v>
      </c>
      <c r="C94" s="161">
        <v>44256</v>
      </c>
      <c r="D94" s="162">
        <v>44286</v>
      </c>
      <c r="E94" s="35">
        <v>0</v>
      </c>
      <c r="F94" s="35">
        <v>0</v>
      </c>
      <c r="G94" s="147">
        <f>583-436</f>
        <v>147</v>
      </c>
      <c r="H94" s="35">
        <v>0</v>
      </c>
      <c r="I94" s="35">
        <v>0</v>
      </c>
      <c r="J94" s="35">
        <f t="shared" si="45"/>
        <v>0</v>
      </c>
      <c r="K94" s="35">
        <f>12010-436*20.6</f>
        <v>3028.3999999999996</v>
      </c>
      <c r="L94" s="35">
        <f>9269+121-436*15.9</f>
        <v>2457.5999999999995</v>
      </c>
      <c r="M94" s="35">
        <v>0</v>
      </c>
      <c r="N94" s="35">
        <f>519-436*0.89</f>
        <v>130.95999999999998</v>
      </c>
      <c r="O94" s="35">
        <f>1772-1325</f>
        <v>447</v>
      </c>
      <c r="P94" s="35">
        <f>181-436*0.3105</f>
        <v>45.622000000000014</v>
      </c>
      <c r="Q94" s="147">
        <f t="shared" si="46"/>
        <v>6109.5819999999985</v>
      </c>
      <c r="R94" s="36">
        <f t="shared" si="47"/>
        <v>41.56178231292516</v>
      </c>
      <c r="S94" s="36">
        <f t="shared" si="48"/>
        <v>20.601360544217684</v>
      </c>
      <c r="T94" s="36">
        <f t="shared" si="49"/>
        <v>16.718367346938773</v>
      </c>
      <c r="U94" s="36">
        <f t="shared" si="50"/>
        <v>0.89088435374149644</v>
      </c>
      <c r="V94" s="36">
        <f t="shared" si="51"/>
        <v>3.0408163265306123</v>
      </c>
      <c r="W94" s="36">
        <f t="shared" si="52"/>
        <v>0.31035374149659872</v>
      </c>
    </row>
    <row r="95" spans="1:23" x14ac:dyDescent="0.2">
      <c r="A95" s="369"/>
      <c r="B95" s="33" t="s">
        <v>107</v>
      </c>
      <c r="C95" s="161">
        <v>44287</v>
      </c>
      <c r="D95" s="162">
        <v>44316</v>
      </c>
      <c r="E95" s="35">
        <v>0</v>
      </c>
      <c r="F95" s="35">
        <v>0</v>
      </c>
      <c r="G95" s="147">
        <f>583-118</f>
        <v>465</v>
      </c>
      <c r="H95" s="35">
        <v>0</v>
      </c>
      <c r="I95" s="35">
        <v>0</v>
      </c>
      <c r="J95" s="35">
        <f t="shared" si="45"/>
        <v>0</v>
      </c>
      <c r="K95" s="35">
        <f>12010-118*20.6</f>
        <v>9579.2000000000007</v>
      </c>
      <c r="L95" s="35">
        <f>9554+121-16.387*118</f>
        <v>7741.3339999999998</v>
      </c>
      <c r="M95" s="35">
        <v>0</v>
      </c>
      <c r="N95" s="35">
        <f>472+47-118*0.89</f>
        <v>413.98</v>
      </c>
      <c r="O95" s="35">
        <f>1615-326</f>
        <v>1289</v>
      </c>
      <c r="P95" s="35">
        <f>181-118*0.3105</f>
        <v>144.36099999999999</v>
      </c>
      <c r="Q95" s="147">
        <f t="shared" si="46"/>
        <v>19167.875</v>
      </c>
      <c r="R95" s="36">
        <f t="shared" si="47"/>
        <v>41.221236559139783</v>
      </c>
      <c r="S95" s="36">
        <f t="shared" si="48"/>
        <v>20.600430107526883</v>
      </c>
      <c r="T95" s="36">
        <f t="shared" si="49"/>
        <v>16.648030107526882</v>
      </c>
      <c r="U95" s="36">
        <f t="shared" si="50"/>
        <v>0.89027956989247314</v>
      </c>
      <c r="V95" s="36">
        <f t="shared" si="51"/>
        <v>2.7720430107526881</v>
      </c>
      <c r="W95" s="36">
        <f t="shared" si="52"/>
        <v>0.31045376344086018</v>
      </c>
    </row>
    <row r="96" spans="1:23" x14ac:dyDescent="0.2">
      <c r="A96" s="369"/>
      <c r="B96" s="33" t="s">
        <v>108</v>
      </c>
      <c r="C96" s="70">
        <v>44317</v>
      </c>
      <c r="D96" s="34">
        <v>44347</v>
      </c>
      <c r="E96" s="35">
        <v>0</v>
      </c>
      <c r="F96" s="35">
        <v>0</v>
      </c>
      <c r="G96" s="147">
        <v>467</v>
      </c>
      <c r="H96" s="35">
        <v>0</v>
      </c>
      <c r="I96" s="35">
        <v>0</v>
      </c>
      <c r="J96" s="35">
        <f t="shared" si="45"/>
        <v>0</v>
      </c>
      <c r="K96" s="35">
        <v>9620</v>
      </c>
      <c r="L96" s="35">
        <f>1302+6351+121</f>
        <v>7774</v>
      </c>
      <c r="M96" s="35">
        <v>0</v>
      </c>
      <c r="N96" s="35">
        <f>0.89*G96</f>
        <v>415.63</v>
      </c>
      <c r="O96" s="35">
        <v>1508</v>
      </c>
      <c r="P96" s="35">
        <f>0.3105*G96</f>
        <v>145.0035</v>
      </c>
      <c r="Q96" s="147">
        <f t="shared" si="46"/>
        <v>19462.6335</v>
      </c>
      <c r="R96" s="36">
        <f t="shared" si="47"/>
        <v>41.675874732334044</v>
      </c>
      <c r="S96" s="36">
        <f t="shared" si="48"/>
        <v>20.599571734475376</v>
      </c>
      <c r="T96" s="36">
        <f t="shared" si="49"/>
        <v>16.646680942184155</v>
      </c>
      <c r="U96" s="36">
        <f t="shared" si="50"/>
        <v>0.89</v>
      </c>
      <c r="V96" s="36">
        <f t="shared" si="51"/>
        <v>3.2291220556745182</v>
      </c>
      <c r="W96" s="36">
        <f t="shared" si="52"/>
        <v>0.3105</v>
      </c>
    </row>
    <row r="97" spans="1:23" x14ac:dyDescent="0.2">
      <c r="A97" s="369"/>
      <c r="B97" s="33" t="s">
        <v>109</v>
      </c>
      <c r="C97" s="70">
        <v>44348</v>
      </c>
      <c r="D97" s="34">
        <v>44377</v>
      </c>
      <c r="E97" s="35">
        <v>0</v>
      </c>
      <c r="F97" s="35">
        <v>0</v>
      </c>
      <c r="G97" s="147">
        <v>467</v>
      </c>
      <c r="H97" s="35">
        <v>0</v>
      </c>
      <c r="I97" s="35">
        <v>0</v>
      </c>
      <c r="J97" s="35">
        <f t="shared" si="45"/>
        <v>0</v>
      </c>
      <c r="K97" s="35">
        <v>9620</v>
      </c>
      <c r="L97" s="35">
        <v>7774</v>
      </c>
      <c r="M97" s="35">
        <v>0</v>
      </c>
      <c r="N97" s="35">
        <f>378+37</f>
        <v>415</v>
      </c>
      <c r="O97" s="35">
        <v>794</v>
      </c>
      <c r="P97" s="35">
        <v>145</v>
      </c>
      <c r="Q97" s="147">
        <f t="shared" si="46"/>
        <v>18748</v>
      </c>
      <c r="R97" s="36">
        <f t="shared" si="47"/>
        <v>40.145610278372594</v>
      </c>
      <c r="S97" s="36">
        <f t="shared" si="48"/>
        <v>20.599571734475376</v>
      </c>
      <c r="T97" s="36">
        <f t="shared" si="49"/>
        <v>16.646680942184155</v>
      </c>
      <c r="U97" s="36">
        <f t="shared" si="50"/>
        <v>0.88865096359743045</v>
      </c>
      <c r="V97" s="36">
        <f t="shared" si="51"/>
        <v>1.7002141327623126</v>
      </c>
      <c r="W97" s="36">
        <f t="shared" si="52"/>
        <v>0.31049250535331907</v>
      </c>
    </row>
    <row r="98" spans="1:23" x14ac:dyDescent="0.2">
      <c r="A98" s="369"/>
      <c r="B98" s="33" t="s">
        <v>110</v>
      </c>
      <c r="C98" s="70">
        <v>44378</v>
      </c>
      <c r="D98" s="34">
        <v>44408</v>
      </c>
      <c r="E98" s="35">
        <v>0</v>
      </c>
      <c r="F98" s="35">
        <v>0</v>
      </c>
      <c r="G98" s="147">
        <v>467</v>
      </c>
      <c r="H98" s="35">
        <v>0</v>
      </c>
      <c r="I98" s="35">
        <v>0</v>
      </c>
      <c r="J98" s="35">
        <f t="shared" si="45"/>
        <v>0</v>
      </c>
      <c r="K98" s="35">
        <v>9620</v>
      </c>
      <c r="L98" s="35">
        <v>7774</v>
      </c>
      <c r="M98" s="35">
        <v>0</v>
      </c>
      <c r="N98" s="35">
        <f>677+37</f>
        <v>714</v>
      </c>
      <c r="O98" s="35">
        <v>93</v>
      </c>
      <c r="P98" s="35">
        <v>145</v>
      </c>
      <c r="Q98" s="147">
        <f t="shared" si="46"/>
        <v>18346</v>
      </c>
      <c r="R98" s="36">
        <f t="shared" si="47"/>
        <v>39.284796573875802</v>
      </c>
      <c r="S98" s="36">
        <f t="shared" si="48"/>
        <v>20.599571734475376</v>
      </c>
      <c r="T98" s="36">
        <f t="shared" si="49"/>
        <v>16.646680942184155</v>
      </c>
      <c r="U98" s="36">
        <f t="shared" si="50"/>
        <v>1.5289079229122056</v>
      </c>
      <c r="V98" s="36">
        <f t="shared" si="51"/>
        <v>0.19914346895074947</v>
      </c>
      <c r="W98" s="36">
        <f t="shared" si="52"/>
        <v>0.31049250535331907</v>
      </c>
    </row>
    <row r="99" spans="1:23" x14ac:dyDescent="0.2">
      <c r="A99" s="369"/>
      <c r="B99" s="33" t="s">
        <v>111</v>
      </c>
      <c r="C99" s="70">
        <v>44409</v>
      </c>
      <c r="D99" s="34">
        <v>44439</v>
      </c>
      <c r="E99" s="35">
        <v>0</v>
      </c>
      <c r="F99" s="35">
        <v>0</v>
      </c>
      <c r="G99" s="147">
        <v>467</v>
      </c>
      <c r="H99" s="35">
        <v>0</v>
      </c>
      <c r="I99" s="35">
        <v>0</v>
      </c>
      <c r="J99" s="35">
        <f t="shared" si="45"/>
        <v>0</v>
      </c>
      <c r="K99" s="35">
        <v>9620</v>
      </c>
      <c r="L99" s="35">
        <v>7774</v>
      </c>
      <c r="M99" s="35">
        <v>0</v>
      </c>
      <c r="N99" s="35">
        <v>714</v>
      </c>
      <c r="O99" s="35">
        <v>0</v>
      </c>
      <c r="P99" s="35">
        <v>145</v>
      </c>
      <c r="Q99" s="147">
        <f t="shared" si="46"/>
        <v>18253</v>
      </c>
      <c r="R99" s="36">
        <f t="shared" si="47"/>
        <v>39.085653104925051</v>
      </c>
      <c r="S99" s="36">
        <f t="shared" si="48"/>
        <v>20.599571734475376</v>
      </c>
      <c r="T99" s="36">
        <f t="shared" si="49"/>
        <v>16.646680942184155</v>
      </c>
      <c r="U99" s="36">
        <f t="shared" si="50"/>
        <v>1.5289079229122056</v>
      </c>
      <c r="V99" s="36">
        <f t="shared" si="51"/>
        <v>0</v>
      </c>
      <c r="W99" s="36">
        <f t="shared" si="52"/>
        <v>0.31049250535331907</v>
      </c>
    </row>
    <row r="100" spans="1:23" x14ac:dyDescent="0.2">
      <c r="A100" s="369"/>
      <c r="B100" s="33" t="s">
        <v>112</v>
      </c>
      <c r="C100" s="70">
        <v>44440</v>
      </c>
      <c r="D100" s="34">
        <v>44469</v>
      </c>
      <c r="E100" s="35">
        <v>0</v>
      </c>
      <c r="F100" s="35">
        <v>0</v>
      </c>
      <c r="G100" s="147">
        <v>467</v>
      </c>
      <c r="H100" s="35">
        <v>0</v>
      </c>
      <c r="I100" s="35">
        <v>0</v>
      </c>
      <c r="J100" s="35">
        <f t="shared" si="45"/>
        <v>0</v>
      </c>
      <c r="K100" s="35">
        <v>9620</v>
      </c>
      <c r="L100" s="35">
        <v>7774</v>
      </c>
      <c r="M100" s="35">
        <v>0</v>
      </c>
      <c r="N100" s="35">
        <v>714</v>
      </c>
      <c r="O100" s="35">
        <v>0</v>
      </c>
      <c r="P100" s="35">
        <v>145</v>
      </c>
      <c r="Q100" s="147">
        <f t="shared" si="46"/>
        <v>18253</v>
      </c>
      <c r="R100" s="36">
        <f t="shared" si="47"/>
        <v>39.085653104925051</v>
      </c>
      <c r="S100" s="36">
        <f t="shared" si="48"/>
        <v>20.599571734475376</v>
      </c>
      <c r="T100" s="36">
        <f t="shared" si="49"/>
        <v>16.646680942184155</v>
      </c>
      <c r="U100" s="36">
        <f t="shared" si="50"/>
        <v>1.5289079229122056</v>
      </c>
      <c r="V100" s="36">
        <f t="shared" si="51"/>
        <v>0</v>
      </c>
      <c r="W100" s="36">
        <f t="shared" si="52"/>
        <v>0.31049250535331907</v>
      </c>
    </row>
    <row r="101" spans="1:23" x14ac:dyDescent="0.2">
      <c r="A101" s="369"/>
      <c r="B101" s="33" t="s">
        <v>113</v>
      </c>
      <c r="C101" s="70">
        <v>44470</v>
      </c>
      <c r="D101" s="34">
        <v>44500</v>
      </c>
      <c r="E101" s="35">
        <v>0</v>
      </c>
      <c r="F101" s="35">
        <v>0</v>
      </c>
      <c r="G101" s="147">
        <v>467</v>
      </c>
      <c r="H101" s="35">
        <v>0</v>
      </c>
      <c r="I101" s="35">
        <v>0</v>
      </c>
      <c r="J101" s="35">
        <f t="shared" si="45"/>
        <v>0</v>
      </c>
      <c r="K101" s="35">
        <v>9620</v>
      </c>
      <c r="L101" s="35">
        <v>7774</v>
      </c>
      <c r="M101" s="35">
        <v>0</v>
      </c>
      <c r="N101" s="35">
        <v>714</v>
      </c>
      <c r="O101" s="35">
        <v>0</v>
      </c>
      <c r="P101" s="35">
        <f>145+126</f>
        <v>271</v>
      </c>
      <c r="Q101" s="147">
        <f t="shared" si="46"/>
        <v>18379</v>
      </c>
      <c r="R101" s="36">
        <f t="shared" si="47"/>
        <v>39.355460385438974</v>
      </c>
      <c r="S101" s="36">
        <f t="shared" si="48"/>
        <v>20.599571734475376</v>
      </c>
      <c r="T101" s="36">
        <f t="shared" si="49"/>
        <v>16.646680942184155</v>
      </c>
      <c r="U101" s="36">
        <f t="shared" si="50"/>
        <v>1.5289079229122056</v>
      </c>
      <c r="V101" s="36">
        <f t="shared" si="51"/>
        <v>0</v>
      </c>
      <c r="W101" s="36">
        <f t="shared" si="52"/>
        <v>0.58029978586723774</v>
      </c>
    </row>
    <row r="102" spans="1:23" x14ac:dyDescent="0.2">
      <c r="A102" s="369"/>
      <c r="B102" s="33" t="s">
        <v>114</v>
      </c>
      <c r="C102" s="161">
        <v>44501</v>
      </c>
      <c r="D102" s="162">
        <v>44530</v>
      </c>
      <c r="E102" s="144">
        <v>0</v>
      </c>
      <c r="F102" s="144">
        <v>0</v>
      </c>
      <c r="G102" s="147">
        <v>467</v>
      </c>
      <c r="H102" s="144">
        <v>0</v>
      </c>
      <c r="I102" s="144">
        <v>0</v>
      </c>
      <c r="J102" s="144">
        <f t="shared" si="45"/>
        <v>0</v>
      </c>
      <c r="K102" s="35">
        <v>9620</v>
      </c>
      <c r="L102" s="35">
        <v>7774</v>
      </c>
      <c r="M102" s="144">
        <v>0</v>
      </c>
      <c r="N102" s="35">
        <v>714</v>
      </c>
      <c r="O102" s="144">
        <v>0</v>
      </c>
      <c r="P102" s="144">
        <f>145+126</f>
        <v>271</v>
      </c>
      <c r="Q102" s="147">
        <f t="shared" si="46"/>
        <v>18379</v>
      </c>
      <c r="R102" s="298">
        <f t="shared" si="47"/>
        <v>39.355460385438974</v>
      </c>
      <c r="S102" s="298">
        <f t="shared" si="48"/>
        <v>20.599571734475376</v>
      </c>
      <c r="T102" s="298">
        <f t="shared" si="49"/>
        <v>16.646680942184155</v>
      </c>
      <c r="U102" s="298">
        <f t="shared" si="50"/>
        <v>1.5289079229122056</v>
      </c>
      <c r="V102" s="298">
        <f t="shared" si="51"/>
        <v>0</v>
      </c>
      <c r="W102" s="298">
        <f t="shared" si="52"/>
        <v>0.58029978586723774</v>
      </c>
    </row>
    <row r="103" spans="1:23" x14ac:dyDescent="0.2">
      <c r="A103" s="369"/>
      <c r="B103" s="33" t="s">
        <v>349</v>
      </c>
      <c r="C103" s="330">
        <v>44531</v>
      </c>
      <c r="D103" s="331">
        <v>44561</v>
      </c>
      <c r="E103" s="145">
        <v>0</v>
      </c>
      <c r="F103" s="145">
        <v>0</v>
      </c>
      <c r="G103" s="148">
        <v>467</v>
      </c>
      <c r="H103" s="145">
        <v>0</v>
      </c>
      <c r="I103" s="145">
        <v>0</v>
      </c>
      <c r="J103" s="145">
        <f t="shared" si="45"/>
        <v>0</v>
      </c>
      <c r="K103" s="35">
        <v>9620</v>
      </c>
      <c r="L103" s="35">
        <v>7774</v>
      </c>
      <c r="M103" s="144">
        <v>0</v>
      </c>
      <c r="N103" s="35">
        <v>714</v>
      </c>
      <c r="O103" s="144">
        <v>0</v>
      </c>
      <c r="P103" s="144">
        <f>145+126</f>
        <v>271</v>
      </c>
      <c r="Q103" s="148">
        <f t="shared" si="46"/>
        <v>18379</v>
      </c>
      <c r="R103" s="332">
        <f t="shared" si="47"/>
        <v>39.355460385438974</v>
      </c>
      <c r="S103" s="332">
        <f t="shared" si="48"/>
        <v>20.599571734475376</v>
      </c>
      <c r="T103" s="332">
        <f t="shared" si="49"/>
        <v>16.646680942184155</v>
      </c>
      <c r="U103" s="298">
        <f t="shared" si="50"/>
        <v>1.5289079229122056</v>
      </c>
      <c r="V103" s="332">
        <f t="shared" si="51"/>
        <v>0</v>
      </c>
      <c r="W103" s="332">
        <f t="shared" si="52"/>
        <v>0.58029978586723774</v>
      </c>
    </row>
    <row r="104" spans="1:23" ht="15" thickBot="1" x14ac:dyDescent="0.25">
      <c r="A104" s="383"/>
      <c r="B104" s="71" t="s">
        <v>440</v>
      </c>
      <c r="C104" s="72">
        <v>44295</v>
      </c>
      <c r="D104" s="73">
        <v>44561</v>
      </c>
      <c r="E104" s="74">
        <v>0</v>
      </c>
      <c r="F104" s="74">
        <v>0</v>
      </c>
      <c r="G104" s="193">
        <v>336</v>
      </c>
      <c r="H104" s="74">
        <v>0</v>
      </c>
      <c r="I104" s="74">
        <v>0</v>
      </c>
      <c r="J104" s="74">
        <f t="shared" si="45"/>
        <v>0</v>
      </c>
      <c r="K104" s="74">
        <v>6934</v>
      </c>
      <c r="L104" s="74">
        <v>5510</v>
      </c>
      <c r="M104" s="74">
        <v>0</v>
      </c>
      <c r="N104" s="74">
        <f>31+436+30</f>
        <v>497</v>
      </c>
      <c r="O104" s="74">
        <f>597-497</f>
        <v>100</v>
      </c>
      <c r="P104" s="74">
        <f>103+41</f>
        <v>144</v>
      </c>
      <c r="Q104" s="193">
        <f t="shared" si="46"/>
        <v>13185</v>
      </c>
      <c r="R104" s="75">
        <f t="shared" si="47"/>
        <v>39.241071428571431</v>
      </c>
      <c r="S104" s="75">
        <f t="shared" si="48"/>
        <v>20.636904761904763</v>
      </c>
      <c r="T104" s="75">
        <f t="shared" si="49"/>
        <v>16.398809523809526</v>
      </c>
      <c r="U104" s="75">
        <f t="shared" si="50"/>
        <v>1.4791666666666667</v>
      </c>
      <c r="V104" s="75">
        <f t="shared" si="51"/>
        <v>0.29761904761904762</v>
      </c>
      <c r="W104" s="75">
        <f t="shared" si="52"/>
        <v>0.42857142857142855</v>
      </c>
    </row>
    <row r="105" spans="1:23" ht="27" customHeight="1" thickTop="1" thickBot="1" x14ac:dyDescent="0.25">
      <c r="A105" s="361" t="s">
        <v>6</v>
      </c>
      <c r="B105" s="362"/>
      <c r="C105" s="362"/>
      <c r="D105" s="363"/>
      <c r="E105" s="40"/>
      <c r="F105" s="40"/>
      <c r="G105" s="40">
        <f>SUM(G95:G104)</f>
        <v>4537</v>
      </c>
      <c r="H105" s="40">
        <f t="shared" ref="H105:Q105" si="53">SUM(H95:H104)</f>
        <v>0</v>
      </c>
      <c r="I105" s="40">
        <f t="shared" si="53"/>
        <v>0</v>
      </c>
      <c r="J105" s="40">
        <f t="shared" si="53"/>
        <v>0</v>
      </c>
      <c r="K105" s="40">
        <f t="shared" si="53"/>
        <v>93473.2</v>
      </c>
      <c r="L105" s="40">
        <f t="shared" si="53"/>
        <v>75443.334000000003</v>
      </c>
      <c r="M105" s="40">
        <f t="shared" si="53"/>
        <v>0</v>
      </c>
      <c r="N105" s="40">
        <f t="shared" si="53"/>
        <v>6025.6100000000006</v>
      </c>
      <c r="O105" s="40">
        <f t="shared" si="53"/>
        <v>3784</v>
      </c>
      <c r="P105" s="40">
        <f t="shared" si="53"/>
        <v>1826.3645000000001</v>
      </c>
      <c r="Q105" s="40">
        <f t="shared" si="53"/>
        <v>180552.5085</v>
      </c>
      <c r="R105" s="41">
        <f t="shared" si="47"/>
        <v>39.79557163323782</v>
      </c>
      <c r="S105" s="41">
        <f t="shared" si="48"/>
        <v>20.602424509587834</v>
      </c>
      <c r="T105" s="41">
        <f t="shared" si="49"/>
        <v>16.628462420101389</v>
      </c>
      <c r="U105" s="41">
        <f t="shared" si="50"/>
        <v>1.3281044743222394</v>
      </c>
      <c r="V105" s="41">
        <f t="shared" si="51"/>
        <v>0.83403129821467925</v>
      </c>
      <c r="W105" s="41">
        <f t="shared" si="52"/>
        <v>0.40254893101168177</v>
      </c>
    </row>
    <row r="106" spans="1:23" ht="15.75" thickTop="1" x14ac:dyDescent="0.25">
      <c r="A106" s="47" t="s">
        <v>86</v>
      </c>
      <c r="B106" s="382" t="s">
        <v>166</v>
      </c>
      <c r="C106" s="382"/>
      <c r="D106" s="382"/>
      <c r="E106" s="382"/>
      <c r="F106" s="382"/>
      <c r="G106" s="381" t="s">
        <v>87</v>
      </c>
      <c r="H106" s="381"/>
      <c r="I106" s="380" t="s">
        <v>168</v>
      </c>
      <c r="J106" s="380"/>
      <c r="K106" s="62" t="s">
        <v>100</v>
      </c>
      <c r="L106" s="381" t="s">
        <v>165</v>
      </c>
      <c r="M106" s="381"/>
      <c r="N106" s="381"/>
      <c r="O106" s="381"/>
      <c r="P106" s="67"/>
      <c r="Q106" s="67" t="s">
        <v>92</v>
      </c>
      <c r="S106" s="380" t="s">
        <v>167</v>
      </c>
      <c r="T106" s="380"/>
      <c r="V106" s="312"/>
    </row>
    <row r="107" spans="1:23" ht="15" thickBot="1" x14ac:dyDescent="0.25"/>
    <row r="108" spans="1:23" ht="52.5" customHeight="1" thickTop="1" thickBot="1" x14ac:dyDescent="0.25">
      <c r="A108" s="384" t="s">
        <v>64</v>
      </c>
      <c r="B108" s="364" t="s">
        <v>0</v>
      </c>
      <c r="C108" s="360" t="s">
        <v>5</v>
      </c>
      <c r="D108" s="360"/>
      <c r="E108" s="360" t="s">
        <v>29</v>
      </c>
      <c r="F108" s="360" t="s">
        <v>30</v>
      </c>
      <c r="G108" s="364" t="s">
        <v>7</v>
      </c>
      <c r="H108" s="357" t="s">
        <v>8</v>
      </c>
      <c r="I108" s="358"/>
      <c r="J108" s="359"/>
      <c r="K108" s="357" t="s">
        <v>11</v>
      </c>
      <c r="L108" s="358"/>
      <c r="M108" s="358"/>
      <c r="N108" s="358"/>
      <c r="O108" s="358"/>
      <c r="P108" s="358"/>
      <c r="Q108" s="359"/>
      <c r="R108" s="357" t="s">
        <v>31</v>
      </c>
      <c r="S108" s="358"/>
      <c r="T108" s="358"/>
      <c r="U108" s="358"/>
      <c r="V108" s="358"/>
      <c r="W108" s="359"/>
    </row>
    <row r="109" spans="1:23" ht="111.75" customHeight="1" thickTop="1" thickBot="1" x14ac:dyDescent="0.25">
      <c r="A109" s="385"/>
      <c r="B109" s="365"/>
      <c r="C109" s="60" t="s">
        <v>3</v>
      </c>
      <c r="D109" s="60" t="s">
        <v>4</v>
      </c>
      <c r="E109" s="360"/>
      <c r="F109" s="360"/>
      <c r="G109" s="365"/>
      <c r="H109" s="60" t="s">
        <v>17</v>
      </c>
      <c r="I109" s="60" t="s">
        <v>68</v>
      </c>
      <c r="J109" s="60" t="s">
        <v>6</v>
      </c>
      <c r="K109" s="60" t="s">
        <v>9</v>
      </c>
      <c r="L109" s="60" t="s">
        <v>10</v>
      </c>
      <c r="M109" s="60" t="s">
        <v>12</v>
      </c>
      <c r="N109" s="60" t="s">
        <v>24</v>
      </c>
      <c r="O109" s="60" t="s">
        <v>25</v>
      </c>
      <c r="P109" s="60" t="s">
        <v>436</v>
      </c>
      <c r="Q109" s="60" t="s">
        <v>23</v>
      </c>
      <c r="R109" s="61" t="s">
        <v>6</v>
      </c>
      <c r="S109" s="61" t="s">
        <v>22</v>
      </c>
      <c r="T109" s="61" t="s">
        <v>20</v>
      </c>
      <c r="U109" s="61" t="s">
        <v>32</v>
      </c>
      <c r="V109" s="61" t="s">
        <v>33</v>
      </c>
      <c r="W109" s="294" t="s">
        <v>386</v>
      </c>
    </row>
    <row r="110" spans="1:23" ht="15" customHeight="1" thickTop="1" x14ac:dyDescent="0.2">
      <c r="A110" s="368" t="s">
        <v>350</v>
      </c>
      <c r="B110" s="29" t="s">
        <v>104</v>
      </c>
      <c r="C110" s="295">
        <v>44197</v>
      </c>
      <c r="D110" s="176">
        <v>44227</v>
      </c>
      <c r="E110" s="31">
        <v>0</v>
      </c>
      <c r="F110" s="31">
        <v>0</v>
      </c>
      <c r="G110" s="146">
        <f>1542-247</f>
        <v>1295</v>
      </c>
      <c r="H110" s="31">
        <v>0</v>
      </c>
      <c r="I110" s="31">
        <v>0</v>
      </c>
      <c r="J110" s="31">
        <f>+I110+H110</f>
        <v>0</v>
      </c>
      <c r="K110" s="31">
        <f>31765-247*20.6</f>
        <v>26676.799999999999</v>
      </c>
      <c r="L110" s="31">
        <f>24519+121-15.9*247</f>
        <v>20712.7</v>
      </c>
      <c r="M110" s="31">
        <v>0</v>
      </c>
      <c r="N110" s="31">
        <f>1249+123-247*0.89</f>
        <v>1152.17</v>
      </c>
      <c r="O110" s="31">
        <f>2282-366</f>
        <v>1916</v>
      </c>
      <c r="P110" s="31">
        <f>479-247*0.3105</f>
        <v>402.30650000000003</v>
      </c>
      <c r="Q110" s="146">
        <f>+P110+O110+N110+M110+L110+K110</f>
        <v>50859.976500000004</v>
      </c>
      <c r="R110" s="32">
        <f>+Q110/G110</f>
        <v>39.274113127413131</v>
      </c>
      <c r="S110" s="32">
        <f>+K110/G110</f>
        <v>20.599845559845559</v>
      </c>
      <c r="T110" s="32">
        <f>+L110/G110</f>
        <v>15.994362934362934</v>
      </c>
      <c r="U110" s="32">
        <f>+N110/G110</f>
        <v>0.88970656370656376</v>
      </c>
      <c r="V110" s="32">
        <f>+O110/G110</f>
        <v>1.4795366795366796</v>
      </c>
      <c r="W110" s="32">
        <f>+P110/G110</f>
        <v>0.31066138996138998</v>
      </c>
    </row>
    <row r="111" spans="1:23" x14ac:dyDescent="0.2">
      <c r="A111" s="369"/>
      <c r="B111" s="33" t="s">
        <v>105</v>
      </c>
      <c r="C111" s="161">
        <v>44228</v>
      </c>
      <c r="D111" s="162">
        <v>44255</v>
      </c>
      <c r="E111" s="35">
        <v>0</v>
      </c>
      <c r="F111" s="35">
        <v>0</v>
      </c>
      <c r="G111" s="147">
        <f>1542-372</f>
        <v>1170</v>
      </c>
      <c r="H111" s="35">
        <v>0</v>
      </c>
      <c r="I111" s="35">
        <v>0</v>
      </c>
      <c r="J111" s="35">
        <f t="shared" ref="J111:J122" si="54">+I111+H111</f>
        <v>0</v>
      </c>
      <c r="K111" s="35">
        <f>31765-372*20.6</f>
        <v>24101.8</v>
      </c>
      <c r="L111" s="35">
        <f>24640-15.9*372</f>
        <v>18725.2</v>
      </c>
      <c r="M111" s="35">
        <v>0</v>
      </c>
      <c r="N111" s="35">
        <f>1372-372*0.89</f>
        <v>1040.92</v>
      </c>
      <c r="O111" s="35">
        <f>3608-871</f>
        <v>2737</v>
      </c>
      <c r="P111" s="35">
        <f>479-372*0.3105</f>
        <v>363.49400000000003</v>
      </c>
      <c r="Q111" s="147">
        <f t="shared" ref="Q111:Q122" si="55">+P111+O111+N111+M111+L111+K111</f>
        <v>46968.414000000004</v>
      </c>
      <c r="R111" s="36">
        <f t="shared" ref="R111:R123" si="56">+Q111/G111</f>
        <v>40.143943589743593</v>
      </c>
      <c r="S111" s="36">
        <f t="shared" ref="S111:S123" si="57">+K111/G111</f>
        <v>20.599829059829059</v>
      </c>
      <c r="T111" s="36">
        <f t="shared" ref="T111:T123" si="58">+L111/G111</f>
        <v>16.004444444444445</v>
      </c>
      <c r="U111" s="36">
        <f t="shared" ref="U111:U123" si="59">+N111/G111</f>
        <v>0.88967521367521374</v>
      </c>
      <c r="V111" s="36">
        <f t="shared" ref="V111:V123" si="60">+O111/G111</f>
        <v>2.3393162393162394</v>
      </c>
      <c r="W111" s="36">
        <f t="shared" ref="W111:W123" si="61">+P111/G111</f>
        <v>0.31067863247863248</v>
      </c>
    </row>
    <row r="112" spans="1:23" x14ac:dyDescent="0.2">
      <c r="A112" s="369"/>
      <c r="B112" s="33" t="s">
        <v>106</v>
      </c>
      <c r="C112" s="161">
        <v>44256</v>
      </c>
      <c r="D112" s="162">
        <v>44286</v>
      </c>
      <c r="E112" s="35">
        <v>0</v>
      </c>
      <c r="F112" s="35">
        <v>0</v>
      </c>
      <c r="G112" s="147">
        <f>1542-247</f>
        <v>1295</v>
      </c>
      <c r="H112" s="35">
        <v>0</v>
      </c>
      <c r="I112" s="35">
        <v>0</v>
      </c>
      <c r="J112" s="35">
        <f t="shared" si="54"/>
        <v>0</v>
      </c>
      <c r="K112" s="35">
        <f>31765-247*20.6</f>
        <v>26676.799999999999</v>
      </c>
      <c r="L112" s="35">
        <f>24640-15.9*247</f>
        <v>20712.7</v>
      </c>
      <c r="M112" s="35">
        <v>0</v>
      </c>
      <c r="N112" s="35">
        <f>1372-247*0.89</f>
        <v>1152.17</v>
      </c>
      <c r="O112" s="35">
        <f>4688-752</f>
        <v>3936</v>
      </c>
      <c r="P112" s="35">
        <f>479-247*0.3105</f>
        <v>402.30650000000003</v>
      </c>
      <c r="Q112" s="147">
        <f t="shared" si="55"/>
        <v>52879.976500000004</v>
      </c>
      <c r="R112" s="36">
        <f t="shared" si="56"/>
        <v>40.833958687258693</v>
      </c>
      <c r="S112" s="36">
        <f t="shared" si="57"/>
        <v>20.599845559845559</v>
      </c>
      <c r="T112" s="36">
        <f t="shared" si="58"/>
        <v>15.994362934362934</v>
      </c>
      <c r="U112" s="36">
        <f t="shared" si="59"/>
        <v>0.88970656370656376</v>
      </c>
      <c r="V112" s="36">
        <f t="shared" si="60"/>
        <v>3.0393822393822392</v>
      </c>
      <c r="W112" s="36">
        <f t="shared" si="61"/>
        <v>0.31066138996138998</v>
      </c>
    </row>
    <row r="113" spans="1:23" x14ac:dyDescent="0.2">
      <c r="A113" s="369"/>
      <c r="B113" s="33" t="s">
        <v>107</v>
      </c>
      <c r="C113" s="161">
        <v>44287</v>
      </c>
      <c r="D113" s="162">
        <v>44316</v>
      </c>
      <c r="E113" s="35">
        <v>0</v>
      </c>
      <c r="F113" s="35">
        <v>0</v>
      </c>
      <c r="G113" s="147">
        <f>1542-10</f>
        <v>1532</v>
      </c>
      <c r="H113" s="35">
        <v>0</v>
      </c>
      <c r="I113" s="35">
        <v>0</v>
      </c>
      <c r="J113" s="35">
        <f t="shared" si="54"/>
        <v>0</v>
      </c>
      <c r="K113" s="35">
        <f>31765-10*20.6</f>
        <v>31559</v>
      </c>
      <c r="L113" s="35">
        <f>25269+121-10*16.387</f>
        <v>25226.13</v>
      </c>
      <c r="M113" s="35">
        <v>0</v>
      </c>
      <c r="N113" s="35">
        <f>1249+123-10*0.89</f>
        <v>1363.1</v>
      </c>
      <c r="O113" s="35">
        <f>4271-26</f>
        <v>4245</v>
      </c>
      <c r="P113" s="35">
        <f>479-10*0.3105</f>
        <v>475.89499999999998</v>
      </c>
      <c r="Q113" s="147">
        <f t="shared" si="55"/>
        <v>62869.125</v>
      </c>
      <c r="R113" s="36">
        <f t="shared" si="56"/>
        <v>41.037287859007833</v>
      </c>
      <c r="S113" s="36">
        <f t="shared" si="57"/>
        <v>20.599869451697128</v>
      </c>
      <c r="T113" s="36">
        <f t="shared" si="58"/>
        <v>16.46614229765013</v>
      </c>
      <c r="U113" s="36">
        <f t="shared" si="59"/>
        <v>0.889751958224543</v>
      </c>
      <c r="V113" s="36">
        <f t="shared" si="60"/>
        <v>2.7708877284595301</v>
      </c>
      <c r="W113" s="36">
        <f t="shared" si="61"/>
        <v>0.31063642297650129</v>
      </c>
    </row>
    <row r="114" spans="1:23" x14ac:dyDescent="0.2">
      <c r="A114" s="369"/>
      <c r="B114" s="33" t="s">
        <v>108</v>
      </c>
      <c r="C114" s="70">
        <v>44317</v>
      </c>
      <c r="D114" s="34">
        <v>44347</v>
      </c>
      <c r="E114" s="35">
        <v>0</v>
      </c>
      <c r="F114" s="35">
        <v>0</v>
      </c>
      <c r="G114" s="147">
        <v>1542</v>
      </c>
      <c r="H114" s="35">
        <v>0</v>
      </c>
      <c r="I114" s="35">
        <v>0</v>
      </c>
      <c r="J114" s="35">
        <f t="shared" si="54"/>
        <v>0</v>
      </c>
      <c r="K114" s="35">
        <v>31765</v>
      </c>
      <c r="L114" s="35">
        <f>4298+20971+121</f>
        <v>25390</v>
      </c>
      <c r="M114" s="35">
        <v>0</v>
      </c>
      <c r="N114" s="35">
        <f>0.89*G114</f>
        <v>1372.38</v>
      </c>
      <c r="O114" s="35">
        <v>4981</v>
      </c>
      <c r="P114" s="35">
        <f>0.3105*G114</f>
        <v>478.791</v>
      </c>
      <c r="Q114" s="147">
        <f t="shared" si="55"/>
        <v>63987.171000000002</v>
      </c>
      <c r="R114" s="36">
        <f t="shared" si="56"/>
        <v>41.496219844357981</v>
      </c>
      <c r="S114" s="36">
        <f t="shared" si="57"/>
        <v>20.599870298313878</v>
      </c>
      <c r="T114" s="36">
        <f t="shared" si="58"/>
        <v>16.46562905317769</v>
      </c>
      <c r="U114" s="36">
        <f t="shared" si="59"/>
        <v>0.89000000000000012</v>
      </c>
      <c r="V114" s="36">
        <f t="shared" si="60"/>
        <v>3.2302204928664073</v>
      </c>
      <c r="W114" s="36">
        <f t="shared" si="61"/>
        <v>0.3105</v>
      </c>
    </row>
    <row r="115" spans="1:23" x14ac:dyDescent="0.2">
      <c r="A115" s="369"/>
      <c r="B115" s="33" t="s">
        <v>109</v>
      </c>
      <c r="C115" s="70">
        <v>44348</v>
      </c>
      <c r="D115" s="34">
        <v>44377</v>
      </c>
      <c r="E115" s="35">
        <v>0</v>
      </c>
      <c r="F115" s="35">
        <v>0</v>
      </c>
      <c r="G115" s="147">
        <v>1542</v>
      </c>
      <c r="H115" s="35">
        <v>0</v>
      </c>
      <c r="I115" s="35">
        <v>0</v>
      </c>
      <c r="J115" s="35">
        <f t="shared" si="54"/>
        <v>0</v>
      </c>
      <c r="K115" s="35">
        <v>31765</v>
      </c>
      <c r="L115" s="35">
        <f>25269+121</f>
        <v>25390</v>
      </c>
      <c r="M115" s="35">
        <v>0</v>
      </c>
      <c r="N115" s="35">
        <v>1372</v>
      </c>
      <c r="O115" s="35">
        <v>2621</v>
      </c>
      <c r="P115" s="35">
        <v>479</v>
      </c>
      <c r="Q115" s="147">
        <f t="shared" si="55"/>
        <v>61627</v>
      </c>
      <c r="R115" s="36">
        <f t="shared" si="56"/>
        <v>39.965629053177693</v>
      </c>
      <c r="S115" s="36">
        <f t="shared" si="57"/>
        <v>20.599870298313878</v>
      </c>
      <c r="T115" s="36">
        <f t="shared" si="58"/>
        <v>16.46562905317769</v>
      </c>
      <c r="U115" s="36">
        <f t="shared" si="59"/>
        <v>0.8897535667963683</v>
      </c>
      <c r="V115" s="36">
        <f t="shared" si="60"/>
        <v>1.6997405966277561</v>
      </c>
      <c r="W115" s="36">
        <f t="shared" si="61"/>
        <v>0.31063553826199741</v>
      </c>
    </row>
    <row r="116" spans="1:23" x14ac:dyDescent="0.2">
      <c r="A116" s="369"/>
      <c r="B116" s="33" t="s">
        <v>110</v>
      </c>
      <c r="C116" s="70">
        <v>44378</v>
      </c>
      <c r="D116" s="34">
        <v>44408</v>
      </c>
      <c r="E116" s="35">
        <v>0</v>
      </c>
      <c r="F116" s="35">
        <v>0</v>
      </c>
      <c r="G116" s="147">
        <v>1542</v>
      </c>
      <c r="H116" s="35">
        <v>0</v>
      </c>
      <c r="I116" s="35">
        <v>0</v>
      </c>
      <c r="J116" s="35">
        <f t="shared" si="54"/>
        <v>0</v>
      </c>
      <c r="K116" s="35">
        <v>31765</v>
      </c>
      <c r="L116" s="35">
        <v>25390</v>
      </c>
      <c r="M116" s="35">
        <v>0</v>
      </c>
      <c r="N116" s="35">
        <f>2236+123</f>
        <v>2359</v>
      </c>
      <c r="O116" s="35">
        <v>308</v>
      </c>
      <c r="P116" s="35">
        <v>479</v>
      </c>
      <c r="Q116" s="147">
        <f t="shared" si="55"/>
        <v>60301</v>
      </c>
      <c r="R116" s="36">
        <f t="shared" si="56"/>
        <v>39.105706874189366</v>
      </c>
      <c r="S116" s="36">
        <f t="shared" si="57"/>
        <v>20.599870298313878</v>
      </c>
      <c r="T116" s="36">
        <f t="shared" si="58"/>
        <v>16.46562905317769</v>
      </c>
      <c r="U116" s="36">
        <f t="shared" si="59"/>
        <v>1.5298313878080414</v>
      </c>
      <c r="V116" s="36">
        <f t="shared" si="60"/>
        <v>0.19974059662775617</v>
      </c>
      <c r="W116" s="36">
        <f t="shared" si="61"/>
        <v>0.31063553826199741</v>
      </c>
    </row>
    <row r="117" spans="1:23" x14ac:dyDescent="0.2">
      <c r="A117" s="369"/>
      <c r="B117" s="33" t="s">
        <v>111</v>
      </c>
      <c r="C117" s="70">
        <v>44409</v>
      </c>
      <c r="D117" s="34">
        <v>44439</v>
      </c>
      <c r="E117" s="35">
        <v>0</v>
      </c>
      <c r="F117" s="35">
        <v>0</v>
      </c>
      <c r="G117" s="147">
        <v>1542</v>
      </c>
      <c r="H117" s="35">
        <v>0</v>
      </c>
      <c r="I117" s="35">
        <v>0</v>
      </c>
      <c r="J117" s="35">
        <f t="shared" si="54"/>
        <v>0</v>
      </c>
      <c r="K117" s="35">
        <v>31765</v>
      </c>
      <c r="L117" s="35">
        <v>25390</v>
      </c>
      <c r="M117" s="35">
        <v>0</v>
      </c>
      <c r="N117" s="35">
        <v>2359</v>
      </c>
      <c r="O117" s="35">
        <v>0</v>
      </c>
      <c r="P117" s="35">
        <v>479</v>
      </c>
      <c r="Q117" s="147">
        <f t="shared" si="55"/>
        <v>59993</v>
      </c>
      <c r="R117" s="36">
        <f t="shared" si="56"/>
        <v>38.90596627756161</v>
      </c>
      <c r="S117" s="36">
        <f t="shared" si="57"/>
        <v>20.599870298313878</v>
      </c>
      <c r="T117" s="36">
        <f t="shared" si="58"/>
        <v>16.46562905317769</v>
      </c>
      <c r="U117" s="36">
        <f t="shared" si="59"/>
        <v>1.5298313878080414</v>
      </c>
      <c r="V117" s="36">
        <f t="shared" si="60"/>
        <v>0</v>
      </c>
      <c r="W117" s="36">
        <f t="shared" si="61"/>
        <v>0.31063553826199741</v>
      </c>
    </row>
    <row r="118" spans="1:23" x14ac:dyDescent="0.2">
      <c r="A118" s="369"/>
      <c r="B118" s="33" t="s">
        <v>112</v>
      </c>
      <c r="C118" s="70">
        <v>44440</v>
      </c>
      <c r="D118" s="34">
        <v>44469</v>
      </c>
      <c r="E118" s="35">
        <v>0</v>
      </c>
      <c r="F118" s="35">
        <v>0</v>
      </c>
      <c r="G118" s="147">
        <v>1542</v>
      </c>
      <c r="H118" s="35">
        <v>0</v>
      </c>
      <c r="I118" s="35">
        <v>0</v>
      </c>
      <c r="J118" s="35">
        <f t="shared" si="54"/>
        <v>0</v>
      </c>
      <c r="K118" s="35">
        <v>31765</v>
      </c>
      <c r="L118" s="35">
        <v>25390</v>
      </c>
      <c r="M118" s="35">
        <v>0</v>
      </c>
      <c r="N118" s="35">
        <v>2359</v>
      </c>
      <c r="O118" s="35">
        <v>0</v>
      </c>
      <c r="P118" s="35">
        <v>479</v>
      </c>
      <c r="Q118" s="147">
        <f t="shared" si="55"/>
        <v>59993</v>
      </c>
      <c r="R118" s="36">
        <f t="shared" si="56"/>
        <v>38.90596627756161</v>
      </c>
      <c r="S118" s="36">
        <f t="shared" si="57"/>
        <v>20.599870298313878</v>
      </c>
      <c r="T118" s="36">
        <f t="shared" si="58"/>
        <v>16.46562905317769</v>
      </c>
      <c r="U118" s="36">
        <f t="shared" si="59"/>
        <v>1.5298313878080414</v>
      </c>
      <c r="V118" s="36">
        <f t="shared" si="60"/>
        <v>0</v>
      </c>
      <c r="W118" s="36">
        <f t="shared" si="61"/>
        <v>0.31063553826199741</v>
      </c>
    </row>
    <row r="119" spans="1:23" x14ac:dyDescent="0.2">
      <c r="A119" s="369"/>
      <c r="B119" s="33" t="s">
        <v>113</v>
      </c>
      <c r="C119" s="70">
        <v>44470</v>
      </c>
      <c r="D119" s="34">
        <v>44500</v>
      </c>
      <c r="E119" s="35">
        <v>0</v>
      </c>
      <c r="F119" s="35">
        <v>0</v>
      </c>
      <c r="G119" s="147">
        <v>1542</v>
      </c>
      <c r="H119" s="35">
        <v>0</v>
      </c>
      <c r="I119" s="35">
        <v>0</v>
      </c>
      <c r="J119" s="35">
        <f t="shared" si="54"/>
        <v>0</v>
      </c>
      <c r="K119" s="35">
        <v>31765</v>
      </c>
      <c r="L119" s="35">
        <v>25390</v>
      </c>
      <c r="M119" s="35">
        <v>0</v>
      </c>
      <c r="N119" s="35">
        <v>2359</v>
      </c>
      <c r="O119" s="35">
        <v>0</v>
      </c>
      <c r="P119" s="35">
        <f>479+416</f>
        <v>895</v>
      </c>
      <c r="Q119" s="147">
        <f t="shared" si="55"/>
        <v>60409</v>
      </c>
      <c r="R119" s="36">
        <f t="shared" si="56"/>
        <v>39.175745784695202</v>
      </c>
      <c r="S119" s="36">
        <f t="shared" si="57"/>
        <v>20.599870298313878</v>
      </c>
      <c r="T119" s="36">
        <f t="shared" si="58"/>
        <v>16.46562905317769</v>
      </c>
      <c r="U119" s="36">
        <f t="shared" si="59"/>
        <v>1.5298313878080414</v>
      </c>
      <c r="V119" s="36">
        <f t="shared" si="60"/>
        <v>0</v>
      </c>
      <c r="W119" s="36">
        <f t="shared" si="61"/>
        <v>0.58041504539559019</v>
      </c>
    </row>
    <row r="120" spans="1:23" x14ac:dyDescent="0.2">
      <c r="A120" s="369"/>
      <c r="B120" s="33" t="s">
        <v>114</v>
      </c>
      <c r="C120" s="161">
        <v>44501</v>
      </c>
      <c r="D120" s="162">
        <v>44530</v>
      </c>
      <c r="E120" s="144">
        <v>0</v>
      </c>
      <c r="F120" s="144">
        <v>0</v>
      </c>
      <c r="G120" s="147">
        <v>1542</v>
      </c>
      <c r="H120" s="144">
        <v>0</v>
      </c>
      <c r="I120" s="144">
        <v>0</v>
      </c>
      <c r="J120" s="144">
        <f t="shared" si="54"/>
        <v>0</v>
      </c>
      <c r="K120" s="35">
        <v>31765</v>
      </c>
      <c r="L120" s="35">
        <v>25390</v>
      </c>
      <c r="M120" s="35">
        <v>0</v>
      </c>
      <c r="N120" s="35">
        <v>2359</v>
      </c>
      <c r="O120" s="35">
        <v>0</v>
      </c>
      <c r="P120" s="35">
        <f>479+416</f>
        <v>895</v>
      </c>
      <c r="Q120" s="147">
        <f t="shared" si="55"/>
        <v>60409</v>
      </c>
      <c r="R120" s="298">
        <f t="shared" si="56"/>
        <v>39.175745784695202</v>
      </c>
      <c r="S120" s="298">
        <f t="shared" si="57"/>
        <v>20.599870298313878</v>
      </c>
      <c r="T120" s="298">
        <f t="shared" si="58"/>
        <v>16.46562905317769</v>
      </c>
      <c r="U120" s="298">
        <f t="shared" si="59"/>
        <v>1.5298313878080414</v>
      </c>
      <c r="V120" s="298">
        <f t="shared" si="60"/>
        <v>0</v>
      </c>
      <c r="W120" s="298">
        <f t="shared" si="61"/>
        <v>0.58041504539559019</v>
      </c>
    </row>
    <row r="121" spans="1:23" x14ac:dyDescent="0.2">
      <c r="A121" s="369"/>
      <c r="B121" s="33" t="s">
        <v>349</v>
      </c>
      <c r="C121" s="330">
        <v>44531</v>
      </c>
      <c r="D121" s="331">
        <v>44561</v>
      </c>
      <c r="E121" s="145">
        <v>0</v>
      </c>
      <c r="F121" s="145">
        <v>0</v>
      </c>
      <c r="G121" s="148">
        <v>1542</v>
      </c>
      <c r="H121" s="145">
        <v>0</v>
      </c>
      <c r="I121" s="145">
        <v>0</v>
      </c>
      <c r="J121" s="145">
        <f t="shared" si="54"/>
        <v>0</v>
      </c>
      <c r="K121" s="35">
        <v>31765</v>
      </c>
      <c r="L121" s="35">
        <v>25390</v>
      </c>
      <c r="M121" s="35">
        <v>0</v>
      </c>
      <c r="N121" s="35">
        <v>2359</v>
      </c>
      <c r="O121" s="35">
        <v>0</v>
      </c>
      <c r="P121" s="35">
        <f>479+416</f>
        <v>895</v>
      </c>
      <c r="Q121" s="148">
        <f t="shared" si="55"/>
        <v>60409</v>
      </c>
      <c r="R121" s="332">
        <f t="shared" si="56"/>
        <v>39.175745784695202</v>
      </c>
      <c r="S121" s="332">
        <f t="shared" si="57"/>
        <v>20.599870298313878</v>
      </c>
      <c r="T121" s="332">
        <f t="shared" si="58"/>
        <v>16.46562905317769</v>
      </c>
      <c r="U121" s="298">
        <f t="shared" si="59"/>
        <v>1.5298313878080414</v>
      </c>
      <c r="V121" s="332">
        <f t="shared" si="60"/>
        <v>0</v>
      </c>
      <c r="W121" s="332">
        <f t="shared" si="61"/>
        <v>0.58041504539559019</v>
      </c>
    </row>
    <row r="122" spans="1:23" ht="15" thickBot="1" x14ac:dyDescent="0.25">
      <c r="A122" s="383"/>
      <c r="B122" s="71" t="s">
        <v>440</v>
      </c>
      <c r="C122" s="72">
        <v>44288</v>
      </c>
      <c r="D122" s="73">
        <v>44561</v>
      </c>
      <c r="E122" s="74">
        <v>0</v>
      </c>
      <c r="F122" s="74">
        <v>0</v>
      </c>
      <c r="G122" s="193">
        <v>-52</v>
      </c>
      <c r="H122" s="74">
        <v>0</v>
      </c>
      <c r="I122" s="74">
        <v>0</v>
      </c>
      <c r="J122" s="74">
        <f t="shared" si="54"/>
        <v>0</v>
      </c>
      <c r="K122" s="74">
        <v>-1060</v>
      </c>
      <c r="L122" s="74">
        <v>-853</v>
      </c>
      <c r="M122" s="74">
        <v>0</v>
      </c>
      <c r="N122" s="74">
        <v>-44</v>
      </c>
      <c r="O122" s="74">
        <f>-131+44</f>
        <v>-87</v>
      </c>
      <c r="P122" s="74">
        <v>-19</v>
      </c>
      <c r="Q122" s="193">
        <f t="shared" si="55"/>
        <v>-2063</v>
      </c>
      <c r="R122" s="75">
        <f t="shared" si="56"/>
        <v>39.67307692307692</v>
      </c>
      <c r="S122" s="75">
        <f t="shared" si="57"/>
        <v>20.384615384615383</v>
      </c>
      <c r="T122" s="75">
        <f t="shared" si="58"/>
        <v>16.403846153846153</v>
      </c>
      <c r="U122" s="75">
        <f t="shared" si="59"/>
        <v>0.84615384615384615</v>
      </c>
      <c r="V122" s="75">
        <f t="shared" si="60"/>
        <v>1.6730769230769231</v>
      </c>
      <c r="W122" s="75">
        <f t="shared" si="61"/>
        <v>0.36538461538461536</v>
      </c>
    </row>
    <row r="123" spans="1:23" ht="27" customHeight="1" thickTop="1" thickBot="1" x14ac:dyDescent="0.25">
      <c r="A123" s="361" t="s">
        <v>6</v>
      </c>
      <c r="B123" s="362"/>
      <c r="C123" s="362"/>
      <c r="D123" s="363"/>
      <c r="E123" s="40"/>
      <c r="F123" s="40"/>
      <c r="G123" s="40">
        <f>SUM(G113:G122)</f>
        <v>13816</v>
      </c>
      <c r="H123" s="40">
        <f t="shared" ref="H123:Q123" si="62">SUM(H113:H122)</f>
        <v>0</v>
      </c>
      <c r="I123" s="40">
        <f t="shared" si="62"/>
        <v>0</v>
      </c>
      <c r="J123" s="40">
        <f t="shared" si="62"/>
        <v>0</v>
      </c>
      <c r="K123" s="40">
        <f t="shared" si="62"/>
        <v>284619</v>
      </c>
      <c r="L123" s="40">
        <f t="shared" si="62"/>
        <v>227493.13</v>
      </c>
      <c r="M123" s="40">
        <f t="shared" si="62"/>
        <v>0</v>
      </c>
      <c r="N123" s="40">
        <f t="shared" si="62"/>
        <v>18217.48</v>
      </c>
      <c r="O123" s="40">
        <f t="shared" si="62"/>
        <v>12068</v>
      </c>
      <c r="P123" s="40">
        <f t="shared" si="62"/>
        <v>5536.6859999999997</v>
      </c>
      <c r="Q123" s="40">
        <f t="shared" si="62"/>
        <v>547934.29599999997</v>
      </c>
      <c r="R123" s="41">
        <f t="shared" si="56"/>
        <v>39.659401852924141</v>
      </c>
      <c r="S123" s="41">
        <f t="shared" si="57"/>
        <v>20.600680370584829</v>
      </c>
      <c r="T123" s="41">
        <f t="shared" si="58"/>
        <v>16.465918500289519</v>
      </c>
      <c r="U123" s="41">
        <f t="shared" si="59"/>
        <v>1.3185784597568038</v>
      </c>
      <c r="V123" s="41">
        <f t="shared" si="60"/>
        <v>0.87348002316155182</v>
      </c>
      <c r="W123" s="41">
        <f t="shared" si="61"/>
        <v>0.40074449913144178</v>
      </c>
    </row>
    <row r="124" spans="1:23" ht="15.75" thickTop="1" x14ac:dyDescent="0.25">
      <c r="A124" s="47" t="s">
        <v>86</v>
      </c>
      <c r="B124" s="382" t="s">
        <v>169</v>
      </c>
      <c r="C124" s="382"/>
      <c r="D124" s="382"/>
      <c r="E124" s="382"/>
      <c r="F124" s="382"/>
      <c r="G124" s="381" t="s">
        <v>87</v>
      </c>
      <c r="H124" s="381"/>
      <c r="I124" s="380" t="s">
        <v>170</v>
      </c>
      <c r="J124" s="380"/>
      <c r="K124" s="62" t="s">
        <v>100</v>
      </c>
      <c r="L124" s="394" t="s">
        <v>389</v>
      </c>
      <c r="M124" s="394"/>
      <c r="N124" s="394"/>
      <c r="O124" s="394"/>
      <c r="P124" s="67"/>
      <c r="Q124" s="67" t="s">
        <v>92</v>
      </c>
      <c r="S124" s="380" t="s">
        <v>171</v>
      </c>
      <c r="T124" s="380"/>
      <c r="V124" s="313"/>
    </row>
    <row r="125" spans="1:23" ht="15" thickBot="1" x14ac:dyDescent="0.25"/>
    <row r="126" spans="1:23" ht="52.5" customHeight="1" thickTop="1" thickBot="1" x14ac:dyDescent="0.25">
      <c r="A126" s="384" t="s">
        <v>64</v>
      </c>
      <c r="B126" s="364" t="s">
        <v>0</v>
      </c>
      <c r="C126" s="360" t="s">
        <v>5</v>
      </c>
      <c r="D126" s="360"/>
      <c r="E126" s="360" t="s">
        <v>29</v>
      </c>
      <c r="F126" s="360" t="s">
        <v>30</v>
      </c>
      <c r="G126" s="364" t="s">
        <v>7</v>
      </c>
      <c r="H126" s="357" t="s">
        <v>8</v>
      </c>
      <c r="I126" s="358"/>
      <c r="J126" s="359"/>
      <c r="K126" s="357" t="s">
        <v>11</v>
      </c>
      <c r="L126" s="358"/>
      <c r="M126" s="358"/>
      <c r="N126" s="358"/>
      <c r="O126" s="358"/>
      <c r="P126" s="358"/>
      <c r="Q126" s="359"/>
      <c r="R126" s="357" t="s">
        <v>31</v>
      </c>
      <c r="S126" s="358"/>
      <c r="T126" s="358"/>
      <c r="U126" s="358"/>
      <c r="V126" s="358"/>
      <c r="W126" s="359"/>
    </row>
    <row r="127" spans="1:23" ht="111.75" customHeight="1" thickTop="1" thickBot="1" x14ac:dyDescent="0.25">
      <c r="A127" s="385"/>
      <c r="B127" s="365"/>
      <c r="C127" s="60" t="s">
        <v>3</v>
      </c>
      <c r="D127" s="60" t="s">
        <v>4</v>
      </c>
      <c r="E127" s="360"/>
      <c r="F127" s="360"/>
      <c r="G127" s="365"/>
      <c r="H127" s="60" t="s">
        <v>17</v>
      </c>
      <c r="I127" s="60" t="s">
        <v>68</v>
      </c>
      <c r="J127" s="60" t="s">
        <v>6</v>
      </c>
      <c r="K127" s="60" t="s">
        <v>9</v>
      </c>
      <c r="L127" s="60" t="s">
        <v>10</v>
      </c>
      <c r="M127" s="60" t="s">
        <v>12</v>
      </c>
      <c r="N127" s="60" t="s">
        <v>24</v>
      </c>
      <c r="O127" s="60" t="s">
        <v>25</v>
      </c>
      <c r="P127" s="60" t="s">
        <v>436</v>
      </c>
      <c r="Q127" s="60" t="s">
        <v>23</v>
      </c>
      <c r="R127" s="61" t="s">
        <v>6</v>
      </c>
      <c r="S127" s="61" t="s">
        <v>22</v>
      </c>
      <c r="T127" s="61" t="s">
        <v>20</v>
      </c>
      <c r="U127" s="61" t="s">
        <v>32</v>
      </c>
      <c r="V127" s="61" t="s">
        <v>33</v>
      </c>
      <c r="W127" s="294" t="s">
        <v>386</v>
      </c>
    </row>
    <row r="128" spans="1:23" ht="15" customHeight="1" thickTop="1" x14ac:dyDescent="0.2">
      <c r="A128" s="368" t="s">
        <v>419</v>
      </c>
      <c r="B128" s="29" t="s">
        <v>104</v>
      </c>
      <c r="C128" s="295">
        <v>44197</v>
      </c>
      <c r="D128" s="176">
        <v>44227</v>
      </c>
      <c r="E128" s="31">
        <v>0</v>
      </c>
      <c r="F128" s="31">
        <v>0</v>
      </c>
      <c r="G128" s="146">
        <f>1083-596</f>
        <v>487</v>
      </c>
      <c r="H128" s="31">
        <v>0</v>
      </c>
      <c r="I128" s="31">
        <v>0</v>
      </c>
      <c r="J128" s="31">
        <f>+I128+H128</f>
        <v>0</v>
      </c>
      <c r="K128" s="31">
        <f>22310-20.6*596</f>
        <v>10032.4</v>
      </c>
      <c r="L128" s="31">
        <f>17219+121-15.9*596</f>
        <v>7863.6</v>
      </c>
      <c r="M128" s="31">
        <v>0</v>
      </c>
      <c r="N128" s="31">
        <f>877+87-0.89*596</f>
        <v>433.55999999999995</v>
      </c>
      <c r="O128" s="31">
        <f>1603-882</f>
        <v>721</v>
      </c>
      <c r="P128" s="31">
        <f>336-0.3105*596</f>
        <v>150.94200000000001</v>
      </c>
      <c r="Q128" s="146">
        <f>+P128+O128+N128+M128+L128+K128</f>
        <v>19201.502</v>
      </c>
      <c r="R128" s="32">
        <f>+Q128/G128</f>
        <v>39.42813552361396</v>
      </c>
      <c r="S128" s="32">
        <f>+K128/G128</f>
        <v>20.600410677618068</v>
      </c>
      <c r="T128" s="32">
        <f>+L128/G128</f>
        <v>16.147022587268996</v>
      </c>
      <c r="U128" s="32">
        <f>+N128/G128</f>
        <v>0.89026694045174526</v>
      </c>
      <c r="V128" s="32">
        <f>+O128/G128</f>
        <v>1.4804928131416837</v>
      </c>
      <c r="W128" s="32">
        <f>+P128/G128</f>
        <v>0.30994250513347021</v>
      </c>
    </row>
    <row r="129" spans="1:23" x14ac:dyDescent="0.2">
      <c r="A129" s="369"/>
      <c r="B129" s="33" t="s">
        <v>105</v>
      </c>
      <c r="C129" s="161">
        <v>44228</v>
      </c>
      <c r="D129" s="162">
        <v>44255</v>
      </c>
      <c r="E129" s="35">
        <v>0</v>
      </c>
      <c r="F129" s="35">
        <v>0</v>
      </c>
      <c r="G129" s="147">
        <f>1083-643</f>
        <v>440</v>
      </c>
      <c r="H129" s="35">
        <v>0</v>
      </c>
      <c r="I129" s="35">
        <v>0</v>
      </c>
      <c r="J129" s="35">
        <f t="shared" ref="J129:J140" si="63">+I129+H129</f>
        <v>0</v>
      </c>
      <c r="K129" s="35">
        <f>22310-643*20.6</f>
        <v>9064.1999999999989</v>
      </c>
      <c r="L129" s="35">
        <f>17340+121-15.9*643</f>
        <v>7237.2999999999993</v>
      </c>
      <c r="M129" s="35">
        <v>0</v>
      </c>
      <c r="N129" s="35">
        <f>964-0.89*643</f>
        <v>391.73</v>
      </c>
      <c r="O129" s="35">
        <f>2534-1504</f>
        <v>1030</v>
      </c>
      <c r="P129" s="35">
        <f>336-643*0.3105</f>
        <v>136.3485</v>
      </c>
      <c r="Q129" s="147">
        <f t="shared" ref="Q129:Q140" si="64">+P129+O129+N129+M129+L129+K129</f>
        <v>17859.578499999996</v>
      </c>
      <c r="R129" s="36">
        <f t="shared" ref="R129:R141" si="65">+Q129/G129</f>
        <v>40.589951136363631</v>
      </c>
      <c r="S129" s="36">
        <f t="shared" ref="S129:S141" si="66">+K129/G129</f>
        <v>20.600454545454543</v>
      </c>
      <c r="T129" s="36">
        <f t="shared" ref="T129:T141" si="67">+L129/G129</f>
        <v>16.448409090909088</v>
      </c>
      <c r="U129" s="36">
        <f t="shared" ref="U129:U141" si="68">+N129/G129</f>
        <v>0.89029545454545456</v>
      </c>
      <c r="V129" s="36">
        <f t="shared" ref="V129:V141" si="69">+O129/G129</f>
        <v>2.3409090909090908</v>
      </c>
      <c r="W129" s="36">
        <f t="shared" ref="W129:W141" si="70">+P129/G129</f>
        <v>0.30988295454545456</v>
      </c>
    </row>
    <row r="130" spans="1:23" x14ac:dyDescent="0.2">
      <c r="A130" s="369"/>
      <c r="B130" s="33" t="s">
        <v>106</v>
      </c>
      <c r="C130" s="161">
        <v>44256</v>
      </c>
      <c r="D130" s="162">
        <v>44286</v>
      </c>
      <c r="E130" s="35">
        <v>0</v>
      </c>
      <c r="F130" s="35">
        <v>0</v>
      </c>
      <c r="G130" s="147">
        <f>1083-96</f>
        <v>987</v>
      </c>
      <c r="H130" s="35">
        <v>0</v>
      </c>
      <c r="I130" s="35">
        <v>0</v>
      </c>
      <c r="J130" s="35">
        <f t="shared" si="63"/>
        <v>0</v>
      </c>
      <c r="K130" s="35">
        <f>22310-96*20.6</f>
        <v>20332.400000000001</v>
      </c>
      <c r="L130" s="35">
        <f>17219+121-15.9*96</f>
        <v>15813.6</v>
      </c>
      <c r="M130" s="35">
        <v>0</v>
      </c>
      <c r="N130" s="35">
        <f>964-96*0.89</f>
        <v>878.56</v>
      </c>
      <c r="O130" s="35">
        <f>3292-292</f>
        <v>3000</v>
      </c>
      <c r="P130" s="35">
        <f>336-96*0.3105</f>
        <v>306.19200000000001</v>
      </c>
      <c r="Q130" s="147">
        <f t="shared" si="64"/>
        <v>40330.752</v>
      </c>
      <c r="R130" s="36">
        <f t="shared" si="65"/>
        <v>40.86195744680851</v>
      </c>
      <c r="S130" s="36">
        <f t="shared" si="66"/>
        <v>20.600202634245189</v>
      </c>
      <c r="T130" s="36">
        <f t="shared" si="67"/>
        <v>16.021884498480244</v>
      </c>
      <c r="U130" s="36">
        <f t="shared" si="68"/>
        <v>0.89013171225937182</v>
      </c>
      <c r="V130" s="36">
        <f t="shared" si="69"/>
        <v>3.0395136778115504</v>
      </c>
      <c r="W130" s="36">
        <f t="shared" si="70"/>
        <v>0.31022492401215807</v>
      </c>
    </row>
    <row r="131" spans="1:23" x14ac:dyDescent="0.2">
      <c r="A131" s="369"/>
      <c r="B131" s="33" t="s">
        <v>107</v>
      </c>
      <c r="C131" s="70">
        <v>44287</v>
      </c>
      <c r="D131" s="34">
        <v>44316</v>
      </c>
      <c r="E131" s="35">
        <v>0</v>
      </c>
      <c r="F131" s="35">
        <v>0</v>
      </c>
      <c r="G131" s="147">
        <v>1083</v>
      </c>
      <c r="H131" s="35">
        <v>0</v>
      </c>
      <c r="I131" s="35">
        <v>0</v>
      </c>
      <c r="J131" s="35">
        <f t="shared" si="63"/>
        <v>0</v>
      </c>
      <c r="K131" s="35">
        <v>22310</v>
      </c>
      <c r="L131" s="35">
        <f>3018+14729+121</f>
        <v>17868</v>
      </c>
      <c r="M131" s="35">
        <v>0</v>
      </c>
      <c r="N131" s="35">
        <f>0.89*G131</f>
        <v>963.87</v>
      </c>
      <c r="O131" s="35">
        <v>3000</v>
      </c>
      <c r="P131" s="35">
        <v>336</v>
      </c>
      <c r="Q131" s="147">
        <f t="shared" si="64"/>
        <v>44477.869999999995</v>
      </c>
      <c r="R131" s="36">
        <f t="shared" si="65"/>
        <v>41.069132040627878</v>
      </c>
      <c r="S131" s="36">
        <f t="shared" si="66"/>
        <v>20.600184672206833</v>
      </c>
      <c r="T131" s="36">
        <f t="shared" si="67"/>
        <v>16.498614958448755</v>
      </c>
      <c r="U131" s="36">
        <f t="shared" si="68"/>
        <v>0.89</v>
      </c>
      <c r="V131" s="36">
        <f t="shared" si="69"/>
        <v>2.770083102493075</v>
      </c>
      <c r="W131" s="36">
        <f t="shared" si="70"/>
        <v>0.31024930747922436</v>
      </c>
    </row>
    <row r="132" spans="1:23" x14ac:dyDescent="0.2">
      <c r="A132" s="369"/>
      <c r="B132" s="33" t="s">
        <v>108</v>
      </c>
      <c r="C132" s="70">
        <v>44317</v>
      </c>
      <c r="D132" s="34">
        <v>44347</v>
      </c>
      <c r="E132" s="35">
        <v>0</v>
      </c>
      <c r="F132" s="35">
        <v>0</v>
      </c>
      <c r="G132" s="147">
        <v>1083</v>
      </c>
      <c r="H132" s="35">
        <v>0</v>
      </c>
      <c r="I132" s="35">
        <v>0</v>
      </c>
      <c r="J132" s="35">
        <f t="shared" si="63"/>
        <v>0</v>
      </c>
      <c r="K132" s="35">
        <v>22310</v>
      </c>
      <c r="L132" s="35">
        <f>17747+121</f>
        <v>17868</v>
      </c>
      <c r="M132" s="35">
        <v>0</v>
      </c>
      <c r="N132" s="35">
        <f>877+87</f>
        <v>964</v>
      </c>
      <c r="O132" s="35">
        <v>3498</v>
      </c>
      <c r="P132" s="35">
        <v>336</v>
      </c>
      <c r="Q132" s="147">
        <f t="shared" si="64"/>
        <v>44976</v>
      </c>
      <c r="R132" s="36">
        <f t="shared" si="65"/>
        <v>41.529085872576175</v>
      </c>
      <c r="S132" s="36">
        <f t="shared" si="66"/>
        <v>20.600184672206833</v>
      </c>
      <c r="T132" s="36">
        <f t="shared" si="67"/>
        <v>16.498614958448755</v>
      </c>
      <c r="U132" s="36">
        <f t="shared" si="68"/>
        <v>0.89012003693444142</v>
      </c>
      <c r="V132" s="36">
        <f t="shared" si="69"/>
        <v>3.229916897506925</v>
      </c>
      <c r="W132" s="36">
        <f t="shared" si="70"/>
        <v>0.31024930747922436</v>
      </c>
    </row>
    <row r="133" spans="1:23" x14ac:dyDescent="0.2">
      <c r="A133" s="369"/>
      <c r="B133" s="33" t="s">
        <v>109</v>
      </c>
      <c r="C133" s="70">
        <v>44348</v>
      </c>
      <c r="D133" s="34">
        <v>44377</v>
      </c>
      <c r="E133" s="35">
        <v>0</v>
      </c>
      <c r="F133" s="35">
        <v>0</v>
      </c>
      <c r="G133" s="147">
        <v>1083</v>
      </c>
      <c r="H133" s="35">
        <v>0</v>
      </c>
      <c r="I133" s="35">
        <v>0</v>
      </c>
      <c r="J133" s="35">
        <f t="shared" si="63"/>
        <v>0</v>
      </c>
      <c r="K133" s="35">
        <v>22310</v>
      </c>
      <c r="L133" s="35">
        <v>17868</v>
      </c>
      <c r="M133" s="35">
        <v>0</v>
      </c>
      <c r="N133" s="35">
        <v>964</v>
      </c>
      <c r="O133" s="35">
        <v>1841</v>
      </c>
      <c r="P133" s="35">
        <v>336</v>
      </c>
      <c r="Q133" s="147">
        <f t="shared" si="64"/>
        <v>43319</v>
      </c>
      <c r="R133" s="36">
        <f t="shared" si="65"/>
        <v>39.999076638965839</v>
      </c>
      <c r="S133" s="36">
        <f t="shared" si="66"/>
        <v>20.600184672206833</v>
      </c>
      <c r="T133" s="36">
        <f t="shared" si="67"/>
        <v>16.498614958448755</v>
      </c>
      <c r="U133" s="36">
        <f t="shared" si="68"/>
        <v>0.89012003693444142</v>
      </c>
      <c r="V133" s="36">
        <f t="shared" si="69"/>
        <v>1.6999076638965835</v>
      </c>
      <c r="W133" s="36">
        <f t="shared" si="70"/>
        <v>0.31024930747922436</v>
      </c>
    </row>
    <row r="134" spans="1:23" x14ac:dyDescent="0.2">
      <c r="A134" s="369"/>
      <c r="B134" s="33" t="s">
        <v>110</v>
      </c>
      <c r="C134" s="70">
        <v>44378</v>
      </c>
      <c r="D134" s="34">
        <v>44408</v>
      </c>
      <c r="E134" s="35">
        <v>0</v>
      </c>
      <c r="F134" s="35">
        <v>0</v>
      </c>
      <c r="G134" s="147">
        <v>1083</v>
      </c>
      <c r="H134" s="35">
        <v>0</v>
      </c>
      <c r="I134" s="35">
        <v>0</v>
      </c>
      <c r="J134" s="35">
        <f t="shared" si="63"/>
        <v>0</v>
      </c>
      <c r="K134" s="35">
        <v>22310</v>
      </c>
      <c r="L134" s="35">
        <v>17868</v>
      </c>
      <c r="M134" s="35">
        <v>0</v>
      </c>
      <c r="N134" s="35">
        <f>1570+87</f>
        <v>1657</v>
      </c>
      <c r="O134" s="35">
        <v>217</v>
      </c>
      <c r="P134" s="35">
        <v>336</v>
      </c>
      <c r="Q134" s="147">
        <f t="shared" si="64"/>
        <v>42388</v>
      </c>
      <c r="R134" s="36">
        <f t="shared" si="65"/>
        <v>39.139427516158818</v>
      </c>
      <c r="S134" s="36">
        <f t="shared" si="66"/>
        <v>20.600184672206833</v>
      </c>
      <c r="T134" s="36">
        <f t="shared" si="67"/>
        <v>16.498614958448755</v>
      </c>
      <c r="U134" s="36">
        <f t="shared" si="68"/>
        <v>1.5300092336103417</v>
      </c>
      <c r="V134" s="36">
        <f t="shared" si="69"/>
        <v>0.20036934441366575</v>
      </c>
      <c r="W134" s="36">
        <f t="shared" si="70"/>
        <v>0.31024930747922436</v>
      </c>
    </row>
    <row r="135" spans="1:23" x14ac:dyDescent="0.2">
      <c r="A135" s="369"/>
      <c r="B135" s="33" t="s">
        <v>111</v>
      </c>
      <c r="C135" s="70">
        <v>44409</v>
      </c>
      <c r="D135" s="34">
        <v>44439</v>
      </c>
      <c r="E135" s="35">
        <v>0</v>
      </c>
      <c r="F135" s="35">
        <v>0</v>
      </c>
      <c r="G135" s="147">
        <v>1083</v>
      </c>
      <c r="H135" s="35">
        <v>0</v>
      </c>
      <c r="I135" s="35">
        <v>0</v>
      </c>
      <c r="J135" s="35">
        <f t="shared" si="63"/>
        <v>0</v>
      </c>
      <c r="K135" s="35">
        <v>22310</v>
      </c>
      <c r="L135" s="35">
        <v>17868</v>
      </c>
      <c r="M135" s="35">
        <v>0</v>
      </c>
      <c r="N135" s="35">
        <v>1657</v>
      </c>
      <c r="O135" s="35">
        <v>0</v>
      </c>
      <c r="P135" s="35">
        <v>336</v>
      </c>
      <c r="Q135" s="147">
        <f t="shared" si="64"/>
        <v>42171</v>
      </c>
      <c r="R135" s="36">
        <f t="shared" si="65"/>
        <v>38.939058171745152</v>
      </c>
      <c r="S135" s="36">
        <f t="shared" si="66"/>
        <v>20.600184672206833</v>
      </c>
      <c r="T135" s="36">
        <f t="shared" si="67"/>
        <v>16.498614958448755</v>
      </c>
      <c r="U135" s="36">
        <f t="shared" si="68"/>
        <v>1.5300092336103417</v>
      </c>
      <c r="V135" s="36">
        <f t="shared" si="69"/>
        <v>0</v>
      </c>
      <c r="W135" s="36">
        <f t="shared" si="70"/>
        <v>0.31024930747922436</v>
      </c>
    </row>
    <row r="136" spans="1:23" x14ac:dyDescent="0.2">
      <c r="A136" s="369"/>
      <c r="B136" s="33" t="s">
        <v>112</v>
      </c>
      <c r="C136" s="70">
        <v>44440</v>
      </c>
      <c r="D136" s="34">
        <v>44469</v>
      </c>
      <c r="E136" s="35">
        <v>0</v>
      </c>
      <c r="F136" s="35">
        <v>0</v>
      </c>
      <c r="G136" s="147">
        <v>1083</v>
      </c>
      <c r="H136" s="35">
        <v>0</v>
      </c>
      <c r="I136" s="35">
        <v>0</v>
      </c>
      <c r="J136" s="35">
        <f t="shared" si="63"/>
        <v>0</v>
      </c>
      <c r="K136" s="35">
        <v>22310</v>
      </c>
      <c r="L136" s="35">
        <v>17868</v>
      </c>
      <c r="M136" s="35">
        <v>0</v>
      </c>
      <c r="N136" s="35">
        <v>1657</v>
      </c>
      <c r="O136" s="35">
        <v>0</v>
      </c>
      <c r="P136" s="35">
        <v>336</v>
      </c>
      <c r="Q136" s="147">
        <f t="shared" si="64"/>
        <v>42171</v>
      </c>
      <c r="R136" s="36">
        <f t="shared" si="65"/>
        <v>38.939058171745152</v>
      </c>
      <c r="S136" s="36">
        <f t="shared" si="66"/>
        <v>20.600184672206833</v>
      </c>
      <c r="T136" s="36">
        <f t="shared" si="67"/>
        <v>16.498614958448755</v>
      </c>
      <c r="U136" s="36">
        <f t="shared" si="68"/>
        <v>1.5300092336103417</v>
      </c>
      <c r="V136" s="36">
        <f t="shared" si="69"/>
        <v>0</v>
      </c>
      <c r="W136" s="36">
        <f t="shared" si="70"/>
        <v>0.31024930747922436</v>
      </c>
    </row>
    <row r="137" spans="1:23" x14ac:dyDescent="0.2">
      <c r="A137" s="369"/>
      <c r="B137" s="33" t="s">
        <v>113</v>
      </c>
      <c r="C137" s="70">
        <v>44470</v>
      </c>
      <c r="D137" s="34">
        <v>44500</v>
      </c>
      <c r="E137" s="35">
        <v>0</v>
      </c>
      <c r="F137" s="35">
        <v>0</v>
      </c>
      <c r="G137" s="147">
        <v>1083</v>
      </c>
      <c r="H137" s="35">
        <v>0</v>
      </c>
      <c r="I137" s="35">
        <v>0</v>
      </c>
      <c r="J137" s="35">
        <f t="shared" si="63"/>
        <v>0</v>
      </c>
      <c r="K137" s="35">
        <v>22310</v>
      </c>
      <c r="L137" s="35">
        <v>17868</v>
      </c>
      <c r="M137" s="35">
        <v>0</v>
      </c>
      <c r="N137" s="35">
        <v>1657</v>
      </c>
      <c r="O137" s="35">
        <v>0</v>
      </c>
      <c r="P137" s="35">
        <f>336+292</f>
        <v>628</v>
      </c>
      <c r="Q137" s="147">
        <f t="shared" si="64"/>
        <v>42463</v>
      </c>
      <c r="R137" s="36">
        <f t="shared" si="65"/>
        <v>39.208679593721143</v>
      </c>
      <c r="S137" s="36">
        <f t="shared" si="66"/>
        <v>20.600184672206833</v>
      </c>
      <c r="T137" s="36">
        <f t="shared" si="67"/>
        <v>16.498614958448755</v>
      </c>
      <c r="U137" s="36">
        <f t="shared" si="68"/>
        <v>1.5300092336103417</v>
      </c>
      <c r="V137" s="36">
        <f t="shared" si="69"/>
        <v>0</v>
      </c>
      <c r="W137" s="36">
        <f t="shared" si="70"/>
        <v>0.579870729455217</v>
      </c>
    </row>
    <row r="138" spans="1:23" x14ac:dyDescent="0.2">
      <c r="A138" s="369"/>
      <c r="B138" s="33" t="s">
        <v>114</v>
      </c>
      <c r="C138" s="70">
        <v>44501</v>
      </c>
      <c r="D138" s="34">
        <v>44530</v>
      </c>
      <c r="E138" s="35">
        <v>0</v>
      </c>
      <c r="F138" s="35">
        <v>0</v>
      </c>
      <c r="G138" s="147">
        <v>1083</v>
      </c>
      <c r="H138" s="35">
        <v>0</v>
      </c>
      <c r="I138" s="35">
        <v>0</v>
      </c>
      <c r="J138" s="35">
        <f t="shared" si="63"/>
        <v>0</v>
      </c>
      <c r="K138" s="35">
        <v>22310</v>
      </c>
      <c r="L138" s="35">
        <v>17868</v>
      </c>
      <c r="M138" s="35">
        <v>0</v>
      </c>
      <c r="N138" s="35">
        <v>1657</v>
      </c>
      <c r="O138" s="35">
        <v>0</v>
      </c>
      <c r="P138" s="35">
        <f>336+292</f>
        <v>628</v>
      </c>
      <c r="Q138" s="147">
        <f t="shared" si="64"/>
        <v>42463</v>
      </c>
      <c r="R138" s="36">
        <f t="shared" si="65"/>
        <v>39.208679593721143</v>
      </c>
      <c r="S138" s="36">
        <f t="shared" si="66"/>
        <v>20.600184672206833</v>
      </c>
      <c r="T138" s="36">
        <f t="shared" si="67"/>
        <v>16.498614958448755</v>
      </c>
      <c r="U138" s="36">
        <f t="shared" si="68"/>
        <v>1.5300092336103417</v>
      </c>
      <c r="V138" s="36">
        <f t="shared" si="69"/>
        <v>0</v>
      </c>
      <c r="W138" s="36">
        <f t="shared" si="70"/>
        <v>0.579870729455217</v>
      </c>
    </row>
    <row r="139" spans="1:23" x14ac:dyDescent="0.2">
      <c r="A139" s="369"/>
      <c r="B139" s="33" t="s">
        <v>349</v>
      </c>
      <c r="C139" s="333">
        <v>44531</v>
      </c>
      <c r="D139" s="334">
        <v>44561</v>
      </c>
      <c r="E139" s="38">
        <v>0</v>
      </c>
      <c r="F139" s="38">
        <v>0</v>
      </c>
      <c r="G139" s="148">
        <v>1083</v>
      </c>
      <c r="H139" s="38">
        <v>0</v>
      </c>
      <c r="I139" s="38">
        <v>0</v>
      </c>
      <c r="J139" s="38">
        <v>0</v>
      </c>
      <c r="K139" s="35">
        <v>22310</v>
      </c>
      <c r="L139" s="35">
        <v>17868</v>
      </c>
      <c r="M139" s="35">
        <v>0</v>
      </c>
      <c r="N139" s="35">
        <v>1657</v>
      </c>
      <c r="O139" s="35">
        <v>0</v>
      </c>
      <c r="P139" s="35">
        <f>336+292</f>
        <v>628</v>
      </c>
      <c r="Q139" s="148">
        <f t="shared" si="64"/>
        <v>42463</v>
      </c>
      <c r="R139" s="39">
        <f t="shared" si="65"/>
        <v>39.208679593721143</v>
      </c>
      <c r="S139" s="39">
        <f t="shared" si="66"/>
        <v>20.600184672206833</v>
      </c>
      <c r="T139" s="39">
        <f t="shared" si="67"/>
        <v>16.498614958448755</v>
      </c>
      <c r="U139" s="36">
        <f t="shared" si="68"/>
        <v>1.5300092336103417</v>
      </c>
      <c r="V139" s="39">
        <f t="shared" si="69"/>
        <v>0</v>
      </c>
      <c r="W139" s="39">
        <f t="shared" si="70"/>
        <v>0.579870729455217</v>
      </c>
    </row>
    <row r="140" spans="1:23" ht="15" thickBot="1" x14ac:dyDescent="0.25">
      <c r="A140" s="383"/>
      <c r="B140" s="71" t="s">
        <v>440</v>
      </c>
      <c r="C140" s="72">
        <v>44261</v>
      </c>
      <c r="D140" s="73">
        <v>44561</v>
      </c>
      <c r="E140" s="74">
        <v>0</v>
      </c>
      <c r="F140" s="74">
        <v>0</v>
      </c>
      <c r="G140" s="193">
        <v>-8861</v>
      </c>
      <c r="H140" s="74">
        <v>0</v>
      </c>
      <c r="I140" s="74">
        <v>0</v>
      </c>
      <c r="J140" s="74">
        <f t="shared" si="63"/>
        <v>0</v>
      </c>
      <c r="K140" s="74">
        <v>-182546</v>
      </c>
      <c r="L140" s="74">
        <v>-144794</v>
      </c>
      <c r="M140" s="74">
        <v>0</v>
      </c>
      <c r="N140" s="74">
        <f>-3133-7235-713</f>
        <v>-11081</v>
      </c>
      <c r="O140" s="74">
        <v>-10533</v>
      </c>
      <c r="P140" s="74">
        <f>-2747-530</f>
        <v>-3277</v>
      </c>
      <c r="Q140" s="193">
        <f t="shared" si="64"/>
        <v>-352231</v>
      </c>
      <c r="R140" s="75">
        <f t="shared" si="65"/>
        <v>39.750705337997971</v>
      </c>
      <c r="S140" s="75">
        <f t="shared" si="66"/>
        <v>20.601060828348945</v>
      </c>
      <c r="T140" s="75">
        <f t="shared" si="67"/>
        <v>16.340593612459092</v>
      </c>
      <c r="U140" s="75">
        <f t="shared" si="68"/>
        <v>1.2505360568784563</v>
      </c>
      <c r="V140" s="75">
        <f t="shared" si="69"/>
        <v>1.188692021216567</v>
      </c>
      <c r="W140" s="75">
        <f t="shared" si="70"/>
        <v>0.36982281909491027</v>
      </c>
    </row>
    <row r="141" spans="1:23" ht="27" customHeight="1" thickTop="1" thickBot="1" x14ac:dyDescent="0.25">
      <c r="A141" s="361" t="s">
        <v>6</v>
      </c>
      <c r="B141" s="362"/>
      <c r="C141" s="362"/>
      <c r="D141" s="363"/>
      <c r="E141" s="40"/>
      <c r="F141" s="40"/>
      <c r="G141" s="40">
        <f>SUM(G128:G140)</f>
        <v>2800</v>
      </c>
      <c r="H141" s="40">
        <f t="shared" ref="H141:Q141" si="71">SUM(H128:H140)</f>
        <v>0</v>
      </c>
      <c r="I141" s="40">
        <f t="shared" si="71"/>
        <v>0</v>
      </c>
      <c r="J141" s="40">
        <f t="shared" si="71"/>
        <v>0</v>
      </c>
      <c r="K141" s="40">
        <f t="shared" si="71"/>
        <v>57673</v>
      </c>
      <c r="L141" s="40">
        <f t="shared" si="71"/>
        <v>46932.5</v>
      </c>
      <c r="M141" s="40">
        <f t="shared" si="71"/>
        <v>0</v>
      </c>
      <c r="N141" s="40">
        <f t="shared" si="71"/>
        <v>3456.7199999999993</v>
      </c>
      <c r="O141" s="40">
        <f t="shared" si="71"/>
        <v>2774</v>
      </c>
      <c r="P141" s="40">
        <f t="shared" si="71"/>
        <v>1216.4825000000001</v>
      </c>
      <c r="Q141" s="40">
        <f t="shared" si="71"/>
        <v>112052.70250000001</v>
      </c>
      <c r="R141" s="41">
        <f t="shared" si="65"/>
        <v>40.01882232142858</v>
      </c>
      <c r="S141" s="41">
        <f t="shared" si="66"/>
        <v>20.5975</v>
      </c>
      <c r="T141" s="41">
        <f t="shared" si="67"/>
        <v>16.761607142857144</v>
      </c>
      <c r="U141" s="41">
        <f t="shared" si="68"/>
        <v>1.2345428571428569</v>
      </c>
      <c r="V141" s="41">
        <f t="shared" si="69"/>
        <v>0.99071428571428577</v>
      </c>
      <c r="W141" s="41">
        <f t="shared" si="70"/>
        <v>0.43445803571428576</v>
      </c>
    </row>
    <row r="142" spans="1:23" ht="15.75" thickTop="1" x14ac:dyDescent="0.25">
      <c r="A142" s="47" t="s">
        <v>86</v>
      </c>
      <c r="B142" s="382" t="s">
        <v>172</v>
      </c>
      <c r="C142" s="382"/>
      <c r="D142" s="382"/>
      <c r="E142" s="382"/>
      <c r="F142" s="382"/>
      <c r="G142" s="381" t="s">
        <v>87</v>
      </c>
      <c r="H142" s="381"/>
      <c r="I142" s="380" t="s">
        <v>418</v>
      </c>
      <c r="J142" s="380"/>
      <c r="K142" s="62" t="s">
        <v>100</v>
      </c>
      <c r="L142" s="381" t="s">
        <v>165</v>
      </c>
      <c r="M142" s="381"/>
      <c r="N142" s="381"/>
      <c r="O142" s="381"/>
      <c r="P142" s="67"/>
      <c r="Q142" s="67" t="s">
        <v>92</v>
      </c>
      <c r="S142" s="380" t="s">
        <v>173</v>
      </c>
      <c r="T142" s="380"/>
      <c r="V142" s="312"/>
    </row>
    <row r="143" spans="1:23" ht="15" x14ac:dyDescent="0.25">
      <c r="A143" s="47"/>
      <c r="B143" s="89"/>
      <c r="C143" s="89"/>
      <c r="D143" s="89"/>
      <c r="E143" s="89"/>
      <c r="F143" s="89"/>
      <c r="G143" s="90"/>
      <c r="H143" s="90"/>
      <c r="I143" s="91"/>
      <c r="J143" s="91"/>
      <c r="K143" s="62"/>
      <c r="L143" s="90"/>
      <c r="M143" s="90"/>
      <c r="N143" s="90"/>
      <c r="O143" s="90"/>
      <c r="P143" s="92"/>
      <c r="Q143" s="92"/>
      <c r="S143" s="91"/>
      <c r="T143" s="91"/>
    </row>
    <row r="144" spans="1:23" ht="15" thickBot="1" x14ac:dyDescent="0.25"/>
    <row r="145" spans="1:23" ht="53.25" customHeight="1" thickTop="1" thickBot="1" x14ac:dyDescent="0.25">
      <c r="A145" s="384" t="s">
        <v>64</v>
      </c>
      <c r="B145" s="364" t="s">
        <v>0</v>
      </c>
      <c r="C145" s="360" t="s">
        <v>5</v>
      </c>
      <c r="D145" s="360"/>
      <c r="E145" s="360" t="s">
        <v>29</v>
      </c>
      <c r="F145" s="360" t="s">
        <v>30</v>
      </c>
      <c r="G145" s="364" t="s">
        <v>311</v>
      </c>
      <c r="H145" s="357" t="s">
        <v>313</v>
      </c>
      <c r="I145" s="358"/>
      <c r="J145" s="359"/>
      <c r="K145" s="357" t="s">
        <v>312</v>
      </c>
      <c r="L145" s="358"/>
      <c r="M145" s="358"/>
      <c r="N145" s="358"/>
      <c r="O145" s="358"/>
      <c r="P145" s="358"/>
      <c r="Q145" s="359"/>
      <c r="R145" s="357" t="s">
        <v>31</v>
      </c>
      <c r="S145" s="358"/>
      <c r="T145" s="358"/>
      <c r="U145" s="358"/>
      <c r="V145" s="358"/>
      <c r="W145" s="359"/>
    </row>
    <row r="146" spans="1:23" ht="105" customHeight="1" thickTop="1" thickBot="1" x14ac:dyDescent="0.25">
      <c r="A146" s="385"/>
      <c r="B146" s="365"/>
      <c r="C146" s="60" t="s">
        <v>3</v>
      </c>
      <c r="D146" s="60" t="s">
        <v>4</v>
      </c>
      <c r="E146" s="360"/>
      <c r="F146" s="360"/>
      <c r="G146" s="365"/>
      <c r="H146" s="60" t="s">
        <v>17</v>
      </c>
      <c r="I146" s="60" t="s">
        <v>68</v>
      </c>
      <c r="J146" s="60" t="s">
        <v>6</v>
      </c>
      <c r="K146" s="60" t="s">
        <v>9</v>
      </c>
      <c r="L146" s="60" t="s">
        <v>10</v>
      </c>
      <c r="M146" s="60" t="s">
        <v>12</v>
      </c>
      <c r="N146" s="60" t="s">
        <v>24</v>
      </c>
      <c r="O146" s="60" t="s">
        <v>25</v>
      </c>
      <c r="P146" s="60" t="s">
        <v>436</v>
      </c>
      <c r="Q146" s="60" t="s">
        <v>23</v>
      </c>
      <c r="R146" s="61" t="s">
        <v>6</v>
      </c>
      <c r="S146" s="61" t="s">
        <v>22</v>
      </c>
      <c r="T146" s="61" t="s">
        <v>20</v>
      </c>
      <c r="U146" s="61" t="s">
        <v>32</v>
      </c>
      <c r="V146" s="61" t="s">
        <v>33</v>
      </c>
      <c r="W146" s="61" t="s">
        <v>386</v>
      </c>
    </row>
    <row r="147" spans="1:23" ht="43.5" customHeight="1" thickTop="1" x14ac:dyDescent="0.2">
      <c r="A147" s="368" t="s">
        <v>84</v>
      </c>
      <c r="B147" s="76" t="s">
        <v>143</v>
      </c>
      <c r="C147" s="77">
        <v>44197</v>
      </c>
      <c r="D147" s="78">
        <v>44561</v>
      </c>
      <c r="E147" s="79">
        <f>+E16+E33</f>
        <v>88</v>
      </c>
      <c r="F147" s="79" t="s">
        <v>28</v>
      </c>
      <c r="G147" s="163">
        <f t="shared" ref="G147:Q147" si="72">+G16+G33</f>
        <v>28872</v>
      </c>
      <c r="H147" s="79">
        <f t="shared" si="72"/>
        <v>7733</v>
      </c>
      <c r="I147" s="79">
        <f t="shared" si="72"/>
        <v>4605</v>
      </c>
      <c r="J147" s="79">
        <f t="shared" si="72"/>
        <v>12338</v>
      </c>
      <c r="K147" s="79">
        <f t="shared" si="72"/>
        <v>594752</v>
      </c>
      <c r="L147" s="79">
        <f t="shared" si="72"/>
        <v>1543420</v>
      </c>
      <c r="M147" s="79">
        <f t="shared" si="72"/>
        <v>50656</v>
      </c>
      <c r="N147" s="79">
        <f t="shared" si="72"/>
        <v>35337</v>
      </c>
      <c r="O147" s="79">
        <f t="shared" si="72"/>
        <v>32555</v>
      </c>
      <c r="P147" s="79">
        <f t="shared" si="72"/>
        <v>11636</v>
      </c>
      <c r="Q147" s="163">
        <f t="shared" si="72"/>
        <v>2268356</v>
      </c>
      <c r="R147" s="81">
        <f>+Q147/G147</f>
        <v>78.565946245497372</v>
      </c>
      <c r="S147" s="81">
        <f>+K147/G147</f>
        <v>20.599612080908837</v>
      </c>
      <c r="T147" s="81">
        <f>+L147/G147</f>
        <v>53.457328899972289</v>
      </c>
      <c r="U147" s="81">
        <f>+N147/G147</f>
        <v>1.2239193682460516</v>
      </c>
      <c r="V147" s="81">
        <f>+O147/G147</f>
        <v>1.1275630368523137</v>
      </c>
      <c r="W147" s="81">
        <f>+P147/G147</f>
        <v>0.40302022720975339</v>
      </c>
    </row>
    <row r="148" spans="1:23" ht="43.5" customHeight="1" x14ac:dyDescent="0.2">
      <c r="A148" s="369"/>
      <c r="B148" s="82" t="s">
        <v>145</v>
      </c>
      <c r="C148" s="83">
        <v>44197</v>
      </c>
      <c r="D148" s="84">
        <v>44561</v>
      </c>
      <c r="E148" s="85" t="s">
        <v>28</v>
      </c>
      <c r="F148" s="85" t="s">
        <v>28</v>
      </c>
      <c r="G148" s="164">
        <f>+G141+G123+G105+G87+G69+G51</f>
        <v>68169</v>
      </c>
      <c r="H148" s="286">
        <f t="shared" ref="H148:Q148" si="73">+H141+H123+H105+H87+H69+H51</f>
        <v>0</v>
      </c>
      <c r="I148" s="286">
        <f t="shared" si="73"/>
        <v>0</v>
      </c>
      <c r="J148" s="286">
        <f t="shared" si="73"/>
        <v>0</v>
      </c>
      <c r="K148" s="286">
        <f t="shared" si="73"/>
        <v>1404302.2</v>
      </c>
      <c r="L148" s="286">
        <f t="shared" si="73"/>
        <v>1121162.9070000001</v>
      </c>
      <c r="M148" s="286">
        <f t="shared" si="73"/>
        <v>0</v>
      </c>
      <c r="N148" s="286">
        <f t="shared" si="73"/>
        <v>86982.01</v>
      </c>
      <c r="O148" s="286">
        <f t="shared" si="73"/>
        <v>67703</v>
      </c>
      <c r="P148" s="286">
        <f t="shared" si="73"/>
        <v>26913.669499999996</v>
      </c>
      <c r="Q148" s="164">
        <f t="shared" si="73"/>
        <v>2707063.7864999999</v>
      </c>
      <c r="R148" s="87">
        <f>+Q148/G148</f>
        <v>39.711067882761959</v>
      </c>
      <c r="S148" s="87">
        <f>+K148/G148</f>
        <v>20.600305124029983</v>
      </c>
      <c r="T148" s="87">
        <f>+L148/G148</f>
        <v>16.446814637151785</v>
      </c>
      <c r="U148" s="87">
        <f>+N148/G148</f>
        <v>1.2759760301603367</v>
      </c>
      <c r="V148" s="87">
        <f>+O148/G148</f>
        <v>0.99316404817439008</v>
      </c>
      <c r="W148" s="87">
        <f>+P148/G148</f>
        <v>0.39480804324546342</v>
      </c>
    </row>
    <row r="149" spans="1:23" ht="45" customHeight="1" thickBot="1" x14ac:dyDescent="0.25">
      <c r="A149" s="383"/>
      <c r="B149" s="195" t="s">
        <v>144</v>
      </c>
      <c r="C149" s="196">
        <v>44197</v>
      </c>
      <c r="D149" s="197">
        <v>44561</v>
      </c>
      <c r="E149" s="198" t="s">
        <v>28</v>
      </c>
      <c r="F149" s="198" t="s">
        <v>28</v>
      </c>
      <c r="G149" s="291">
        <v>0</v>
      </c>
      <c r="H149" s="198">
        <f t="shared" ref="H149:M149" si="74">+H140+H120+H122+H102+H104+H84+H86+H66+H68+H48+H50</f>
        <v>0</v>
      </c>
      <c r="I149" s="198">
        <f t="shared" si="74"/>
        <v>0</v>
      </c>
      <c r="J149" s="198">
        <f t="shared" si="74"/>
        <v>0</v>
      </c>
      <c r="K149" s="198">
        <v>0</v>
      </c>
      <c r="L149" s="198">
        <v>0</v>
      </c>
      <c r="M149" s="198">
        <f t="shared" si="74"/>
        <v>0</v>
      </c>
      <c r="N149" s="198">
        <v>0</v>
      </c>
      <c r="O149" s="198">
        <v>0</v>
      </c>
      <c r="P149" s="198">
        <v>0</v>
      </c>
      <c r="Q149" s="291">
        <v>0</v>
      </c>
      <c r="R149" s="199" t="e">
        <f>+Q149/G149</f>
        <v>#DIV/0!</v>
      </c>
      <c r="S149" s="199" t="e">
        <f>+K149/G149</f>
        <v>#DIV/0!</v>
      </c>
      <c r="T149" s="199" t="e">
        <f>+L149/G149</f>
        <v>#DIV/0!</v>
      </c>
      <c r="U149" s="199" t="e">
        <f>+N149/G149</f>
        <v>#DIV/0!</v>
      </c>
      <c r="V149" s="199" t="e">
        <f>+O149/G149</f>
        <v>#DIV/0!</v>
      </c>
      <c r="W149" s="199" t="e">
        <f>+P149/G149</f>
        <v>#DIV/0!</v>
      </c>
    </row>
    <row r="150" spans="1:23" ht="27" customHeight="1" thickTop="1" thickBot="1" x14ac:dyDescent="0.25">
      <c r="A150" s="361" t="s">
        <v>84</v>
      </c>
      <c r="B150" s="362"/>
      <c r="C150" s="362"/>
      <c r="D150" s="363"/>
      <c r="E150" s="40">
        <f>SUM(E147:E149)</f>
        <v>88</v>
      </c>
      <c r="F150" s="40" t="s">
        <v>28</v>
      </c>
      <c r="G150" s="40">
        <f>SUM(G147:G149)</f>
        <v>97041</v>
      </c>
      <c r="H150" s="40">
        <f t="shared" ref="H150:Q150" si="75">SUM(H147:H149)</f>
        <v>7733</v>
      </c>
      <c r="I150" s="40">
        <f t="shared" si="75"/>
        <v>4605</v>
      </c>
      <c r="J150" s="40">
        <f t="shared" si="75"/>
        <v>12338</v>
      </c>
      <c r="K150" s="40">
        <f t="shared" si="75"/>
        <v>1999054.2</v>
      </c>
      <c r="L150" s="40">
        <f t="shared" si="75"/>
        <v>2664582.9070000001</v>
      </c>
      <c r="M150" s="40">
        <f t="shared" si="75"/>
        <v>50656</v>
      </c>
      <c r="N150" s="40">
        <f t="shared" si="75"/>
        <v>122319.01</v>
      </c>
      <c r="O150" s="40">
        <f t="shared" si="75"/>
        <v>100258</v>
      </c>
      <c r="P150" s="40">
        <f t="shared" si="75"/>
        <v>38549.669499999996</v>
      </c>
      <c r="Q150" s="40">
        <f t="shared" si="75"/>
        <v>4975419.7864999995</v>
      </c>
      <c r="R150" s="41">
        <f>+Q150/G150</f>
        <v>51.2713161086551</v>
      </c>
      <c r="S150" s="41">
        <f>+K150/G150</f>
        <v>20.600098927257552</v>
      </c>
      <c r="T150" s="41">
        <f>+L150/G150</f>
        <v>27.458320781937534</v>
      </c>
      <c r="U150" s="41">
        <f>+N150/G150</f>
        <v>1.2604879380880245</v>
      </c>
      <c r="V150" s="41">
        <f>+O150/G150</f>
        <v>1.0331509362022238</v>
      </c>
      <c r="W150" s="41">
        <f>+P150/G150</f>
        <v>0.39725136282602197</v>
      </c>
    </row>
    <row r="151" spans="1:23" ht="15" thickTop="1" x14ac:dyDescent="0.2"/>
    <row r="154" spans="1:23" ht="15" thickBot="1" x14ac:dyDescent="0.25"/>
    <row r="155" spans="1:23" ht="36" customHeight="1" thickTop="1" thickBot="1" x14ac:dyDescent="0.25">
      <c r="A155" s="392" t="s">
        <v>64</v>
      </c>
      <c r="B155" s="376" t="s">
        <v>0</v>
      </c>
      <c r="C155" s="375" t="s">
        <v>5</v>
      </c>
      <c r="D155" s="375"/>
      <c r="E155" s="375" t="s">
        <v>29</v>
      </c>
      <c r="F155" s="375" t="s">
        <v>30</v>
      </c>
      <c r="G155" s="376" t="s">
        <v>7</v>
      </c>
      <c r="H155" s="372" t="s">
        <v>8</v>
      </c>
      <c r="I155" s="373"/>
      <c r="J155" s="374"/>
      <c r="K155" s="372" t="s">
        <v>11</v>
      </c>
      <c r="L155" s="373"/>
      <c r="M155" s="373"/>
      <c r="N155" s="373"/>
      <c r="O155" s="373"/>
      <c r="P155" s="373"/>
      <c r="Q155" s="374"/>
      <c r="R155" s="372" t="s">
        <v>31</v>
      </c>
      <c r="S155" s="373"/>
      <c r="T155" s="373"/>
      <c r="U155" s="373"/>
      <c r="V155" s="373"/>
      <c r="W155" s="374"/>
    </row>
    <row r="156" spans="1:23" ht="61.5" thickTop="1" thickBot="1" x14ac:dyDescent="0.25">
      <c r="A156" s="393"/>
      <c r="B156" s="377"/>
      <c r="C156" s="220" t="s">
        <v>3</v>
      </c>
      <c r="D156" s="220" t="s">
        <v>4</v>
      </c>
      <c r="E156" s="375"/>
      <c r="F156" s="375"/>
      <c r="G156" s="377"/>
      <c r="H156" s="220" t="s">
        <v>17</v>
      </c>
      <c r="I156" s="220" t="s">
        <v>89</v>
      </c>
      <c r="J156" s="220" t="s">
        <v>6</v>
      </c>
      <c r="K156" s="220" t="s">
        <v>9</v>
      </c>
      <c r="L156" s="220" t="s">
        <v>10</v>
      </c>
      <c r="M156" s="220" t="s">
        <v>12</v>
      </c>
      <c r="N156" s="220" t="s">
        <v>24</v>
      </c>
      <c r="O156" s="220" t="s">
        <v>25</v>
      </c>
      <c r="P156" s="220" t="s">
        <v>436</v>
      </c>
      <c r="Q156" s="220" t="s">
        <v>23</v>
      </c>
      <c r="R156" s="222" t="s">
        <v>6</v>
      </c>
      <c r="S156" s="222" t="s">
        <v>22</v>
      </c>
      <c r="T156" s="222" t="s">
        <v>20</v>
      </c>
      <c r="U156" s="222" t="s">
        <v>32</v>
      </c>
      <c r="V156" s="222" t="s">
        <v>33</v>
      </c>
      <c r="W156" s="222" t="s">
        <v>386</v>
      </c>
    </row>
    <row r="157" spans="1:23" ht="15" thickTop="1" x14ac:dyDescent="0.2">
      <c r="A157" s="368" t="s">
        <v>344</v>
      </c>
      <c r="B157" s="29">
        <v>1</v>
      </c>
      <c r="C157" s="388" t="s">
        <v>406</v>
      </c>
      <c r="D157" s="389"/>
      <c r="E157" s="31" t="s">
        <v>28</v>
      </c>
      <c r="F157" s="31" t="s">
        <v>345</v>
      </c>
      <c r="G157" s="223">
        <f>+G4+G21+G148/12</f>
        <v>8666.75</v>
      </c>
      <c r="H157" s="31">
        <f t="shared" ref="H157:Q157" si="76">+H4+H21+H148/12</f>
        <v>0</v>
      </c>
      <c r="I157" s="31">
        <f t="shared" si="76"/>
        <v>0</v>
      </c>
      <c r="J157" s="31">
        <f t="shared" si="76"/>
        <v>0</v>
      </c>
      <c r="K157" s="31">
        <f t="shared" si="76"/>
        <v>178543.18333333335</v>
      </c>
      <c r="L157" s="31">
        <f t="shared" si="76"/>
        <v>217220.24225000001</v>
      </c>
      <c r="M157" s="31">
        <f t="shared" si="76"/>
        <v>0</v>
      </c>
      <c r="N157" s="31">
        <f t="shared" si="76"/>
        <v>9906.5008333333317</v>
      </c>
      <c r="O157" s="31">
        <f t="shared" si="76"/>
        <v>10061.916666666668</v>
      </c>
      <c r="P157" s="31">
        <f t="shared" si="76"/>
        <v>3169.8057916666662</v>
      </c>
      <c r="Q157" s="223">
        <f t="shared" si="76"/>
        <v>418901.64887499996</v>
      </c>
      <c r="R157" s="32">
        <f>+Q157/G157</f>
        <v>48.33434088614532</v>
      </c>
      <c r="S157" s="32">
        <f>+K157/G157</f>
        <v>20.600938452514882</v>
      </c>
      <c r="T157" s="32">
        <f>+L157/G157</f>
        <v>25.063633109297026</v>
      </c>
      <c r="U157" s="32">
        <f>+N157/G157</f>
        <v>1.1430467976269456</v>
      </c>
      <c r="V157" s="32">
        <f>+O157/G157</f>
        <v>1.160979221353641</v>
      </c>
      <c r="W157" s="32">
        <f>+P157/G157</f>
        <v>0.36574330535283311</v>
      </c>
    </row>
    <row r="158" spans="1:23" x14ac:dyDescent="0.2">
      <c r="A158" s="369"/>
      <c r="B158" s="33">
        <v>2</v>
      </c>
      <c r="C158" s="390" t="s">
        <v>411</v>
      </c>
      <c r="D158" s="391"/>
      <c r="E158" s="35" t="s">
        <v>28</v>
      </c>
      <c r="F158" s="35" t="s">
        <v>28</v>
      </c>
      <c r="G158" s="224">
        <f>+G5+G22+G148/12</f>
        <v>8439.75</v>
      </c>
      <c r="H158" s="35">
        <f t="shared" ref="H158:Q158" si="77">+H5+H22+H148/12</f>
        <v>346</v>
      </c>
      <c r="I158" s="35">
        <f t="shared" si="77"/>
        <v>708</v>
      </c>
      <c r="J158" s="35">
        <f t="shared" si="77"/>
        <v>1054</v>
      </c>
      <c r="K158" s="35">
        <f t="shared" si="77"/>
        <v>173852.18333333335</v>
      </c>
      <c r="L158" s="35">
        <f t="shared" si="77"/>
        <v>215158.24225000001</v>
      </c>
      <c r="M158" s="35">
        <f t="shared" si="77"/>
        <v>4025</v>
      </c>
      <c r="N158" s="35">
        <f t="shared" si="77"/>
        <v>9703.5008333333317</v>
      </c>
      <c r="O158" s="35">
        <f t="shared" si="77"/>
        <v>12096.916666666668</v>
      </c>
      <c r="P158" s="35">
        <f t="shared" si="77"/>
        <v>3098.8057916666662</v>
      </c>
      <c r="Q158" s="224">
        <f t="shared" si="77"/>
        <v>417934.64887499996</v>
      </c>
      <c r="R158" s="36">
        <f t="shared" ref="R158:R169" si="78">+Q158/G158</f>
        <v>49.519790144850255</v>
      </c>
      <c r="S158" s="36">
        <f t="shared" ref="S158:S169" si="79">+K158/G158</f>
        <v>20.599210087186627</v>
      </c>
      <c r="T158" s="36">
        <f t="shared" ref="T158:T169" si="80">+L158/G158</f>
        <v>25.493437868420273</v>
      </c>
      <c r="U158" s="36">
        <f t="shared" ref="U158:U169" si="81">+N158/G158</f>
        <v>1.1497379464241633</v>
      </c>
      <c r="V158" s="36">
        <f t="shared" ref="V158:V169" si="82">+O158/G158</f>
        <v>1.4333264215962165</v>
      </c>
      <c r="W158" s="36">
        <f t="shared" ref="W158:W169" si="83">+P158/G158</f>
        <v>0.36716796014889852</v>
      </c>
    </row>
    <row r="159" spans="1:23" x14ac:dyDescent="0.2">
      <c r="A159" s="369"/>
      <c r="B159" s="33">
        <v>3</v>
      </c>
      <c r="C159" s="390" t="s">
        <v>412</v>
      </c>
      <c r="D159" s="391"/>
      <c r="E159" s="35" t="s">
        <v>28</v>
      </c>
      <c r="F159" s="35" t="s">
        <v>28</v>
      </c>
      <c r="G159" s="224">
        <f>+G6+G23+G148/12</f>
        <v>7243.75</v>
      </c>
      <c r="H159" s="35">
        <f t="shared" ref="H159:Q159" si="84">+H6+H23+H148/12</f>
        <v>305</v>
      </c>
      <c r="I159" s="35">
        <f t="shared" si="84"/>
        <v>736</v>
      </c>
      <c r="J159" s="35">
        <f t="shared" si="84"/>
        <v>1041</v>
      </c>
      <c r="K159" s="35">
        <f t="shared" si="84"/>
        <v>149227.18333333335</v>
      </c>
      <c r="L159" s="35">
        <f t="shared" si="84"/>
        <v>204025.24225000001</v>
      </c>
      <c r="M159" s="35">
        <f t="shared" si="84"/>
        <v>3976</v>
      </c>
      <c r="N159" s="35">
        <f t="shared" si="84"/>
        <v>8639.5008333333317</v>
      </c>
      <c r="O159" s="35">
        <f t="shared" si="84"/>
        <v>10393.916666666668</v>
      </c>
      <c r="P159" s="35">
        <f t="shared" si="84"/>
        <v>2727.8057916666662</v>
      </c>
      <c r="Q159" s="224">
        <f t="shared" si="84"/>
        <v>378989.64887499996</v>
      </c>
      <c r="R159" s="36">
        <f t="shared" si="78"/>
        <v>52.319537377049173</v>
      </c>
      <c r="S159" s="36">
        <f t="shared" si="79"/>
        <v>20.600819096922638</v>
      </c>
      <c r="T159" s="36">
        <f t="shared" si="80"/>
        <v>28.165693494391718</v>
      </c>
      <c r="U159" s="36">
        <f t="shared" si="81"/>
        <v>1.1926834627552485</v>
      </c>
      <c r="V159" s="36">
        <f t="shared" si="82"/>
        <v>1.4348806442335349</v>
      </c>
      <c r="W159" s="36">
        <f t="shared" si="83"/>
        <v>0.37657370721886679</v>
      </c>
    </row>
    <row r="160" spans="1:23" x14ac:dyDescent="0.2">
      <c r="A160" s="369"/>
      <c r="B160" s="33">
        <v>4</v>
      </c>
      <c r="C160" s="390" t="s">
        <v>413</v>
      </c>
      <c r="D160" s="391"/>
      <c r="E160" s="35" t="s">
        <v>28</v>
      </c>
      <c r="F160" s="35" t="s">
        <v>28</v>
      </c>
      <c r="G160" s="224">
        <f>+G7+G24+G148/12</f>
        <v>7461.75</v>
      </c>
      <c r="H160" s="35">
        <f t="shared" ref="H160:Q160" si="85">+H7+H24+H148/12</f>
        <v>960</v>
      </c>
      <c r="I160" s="35">
        <f t="shared" si="85"/>
        <v>221</v>
      </c>
      <c r="J160" s="35">
        <f t="shared" si="85"/>
        <v>1181</v>
      </c>
      <c r="K160" s="35">
        <f t="shared" si="85"/>
        <v>153707.18333333335</v>
      </c>
      <c r="L160" s="35">
        <f t="shared" si="85"/>
        <v>220421.24225000001</v>
      </c>
      <c r="M160" s="35">
        <f t="shared" si="85"/>
        <v>4511</v>
      </c>
      <c r="N160" s="35">
        <f t="shared" si="85"/>
        <v>8833.5008333333317</v>
      </c>
      <c r="O160" s="35">
        <f t="shared" si="85"/>
        <v>10574.916666666668</v>
      </c>
      <c r="P160" s="35">
        <f t="shared" si="85"/>
        <v>2795.8057916666662</v>
      </c>
      <c r="Q160" s="224">
        <f t="shared" si="85"/>
        <v>400843.64887499996</v>
      </c>
      <c r="R160" s="36">
        <f t="shared" si="78"/>
        <v>53.719790782993257</v>
      </c>
      <c r="S160" s="36">
        <f t="shared" si="79"/>
        <v>20.599347784813663</v>
      </c>
      <c r="T160" s="36">
        <f t="shared" si="80"/>
        <v>29.540153750795728</v>
      </c>
      <c r="U160" s="36">
        <f t="shared" si="81"/>
        <v>1.1838376832959201</v>
      </c>
      <c r="V160" s="36">
        <f t="shared" si="82"/>
        <v>1.4172166940284341</v>
      </c>
      <c r="W160" s="36">
        <f t="shared" si="83"/>
        <v>0.37468499905071412</v>
      </c>
    </row>
    <row r="161" spans="1:23" x14ac:dyDescent="0.2">
      <c r="A161" s="369"/>
      <c r="B161" s="33">
        <v>5</v>
      </c>
      <c r="C161" s="390" t="s">
        <v>414</v>
      </c>
      <c r="D161" s="391"/>
      <c r="E161" s="35" t="s">
        <v>28</v>
      </c>
      <c r="F161" s="35" t="s">
        <v>28</v>
      </c>
      <c r="G161" s="224">
        <f>+G8+G25+G148/12</f>
        <v>8112.75</v>
      </c>
      <c r="H161" s="35">
        <f t="shared" ref="H161:Q161" si="86">+H8+H25+H148/12</f>
        <v>780</v>
      </c>
      <c r="I161" s="35">
        <f t="shared" si="86"/>
        <v>389</v>
      </c>
      <c r="J161" s="35">
        <f t="shared" si="86"/>
        <v>1169</v>
      </c>
      <c r="K161" s="35">
        <f t="shared" si="86"/>
        <v>167120.18333333335</v>
      </c>
      <c r="L161" s="35">
        <f t="shared" si="86"/>
        <v>225640.24225000001</v>
      </c>
      <c r="M161" s="35">
        <f t="shared" si="86"/>
        <v>4921</v>
      </c>
      <c r="N161" s="35">
        <f t="shared" si="86"/>
        <v>9411.5008333333317</v>
      </c>
      <c r="O161" s="35">
        <f t="shared" si="86"/>
        <v>13496.916666666668</v>
      </c>
      <c r="P161" s="35">
        <f t="shared" si="86"/>
        <v>2998.8057916666662</v>
      </c>
      <c r="Q161" s="224">
        <f t="shared" si="86"/>
        <v>423588.64887499996</v>
      </c>
      <c r="R161" s="36">
        <f t="shared" si="78"/>
        <v>52.212708252442141</v>
      </c>
      <c r="S161" s="36">
        <f t="shared" si="79"/>
        <v>20.599695951845348</v>
      </c>
      <c r="T161" s="36">
        <f t="shared" si="80"/>
        <v>27.813040245292903</v>
      </c>
      <c r="U161" s="36">
        <f t="shared" si="81"/>
        <v>1.160087619282405</v>
      </c>
      <c r="V161" s="36">
        <f t="shared" si="82"/>
        <v>1.6636672727085966</v>
      </c>
      <c r="W161" s="36">
        <f t="shared" si="83"/>
        <v>0.36964109477879464</v>
      </c>
    </row>
    <row r="162" spans="1:23" x14ac:dyDescent="0.2">
      <c r="A162" s="369"/>
      <c r="B162" s="33">
        <v>6</v>
      </c>
      <c r="C162" s="390" t="s">
        <v>415</v>
      </c>
      <c r="D162" s="391"/>
      <c r="E162" s="35" t="s">
        <v>28</v>
      </c>
      <c r="F162" s="35" t="s">
        <v>28</v>
      </c>
      <c r="G162" s="224">
        <f>+G9+G26+G148/12</f>
        <v>7965.75</v>
      </c>
      <c r="H162" s="35">
        <f t="shared" ref="H162:Q162" si="87">+H9+H26+H148/12</f>
        <v>675</v>
      </c>
      <c r="I162" s="35">
        <f t="shared" si="87"/>
        <v>379</v>
      </c>
      <c r="J162" s="35">
        <f t="shared" si="87"/>
        <v>1054</v>
      </c>
      <c r="K162" s="35">
        <f t="shared" si="87"/>
        <v>164094.18333333335</v>
      </c>
      <c r="L162" s="35">
        <f t="shared" si="87"/>
        <v>224463.24225000001</v>
      </c>
      <c r="M162" s="35">
        <f t="shared" si="87"/>
        <v>4434</v>
      </c>
      <c r="N162" s="35">
        <f t="shared" si="87"/>
        <v>9282.5008333333317</v>
      </c>
      <c r="O162" s="35">
        <f t="shared" si="87"/>
        <v>9525.9166666666679</v>
      </c>
      <c r="P162" s="35">
        <f t="shared" si="87"/>
        <v>2951.8057916666662</v>
      </c>
      <c r="Q162" s="224">
        <f t="shared" si="87"/>
        <v>414751.64887499996</v>
      </c>
      <c r="R162" s="36">
        <f t="shared" si="78"/>
        <v>52.066867385368603</v>
      </c>
      <c r="S162" s="36">
        <f t="shared" si="79"/>
        <v>20.599966523344737</v>
      </c>
      <c r="T162" s="36">
        <f t="shared" si="80"/>
        <v>28.178544675642595</v>
      </c>
      <c r="U162" s="36">
        <f t="shared" si="81"/>
        <v>1.1653015514337421</v>
      </c>
      <c r="V162" s="36">
        <f t="shared" si="82"/>
        <v>1.1958593562020736</v>
      </c>
      <c r="W162" s="36">
        <f t="shared" si="83"/>
        <v>0.37056219334860702</v>
      </c>
    </row>
    <row r="163" spans="1:23" x14ac:dyDescent="0.2">
      <c r="A163" s="369"/>
      <c r="B163" s="33">
        <v>7</v>
      </c>
      <c r="C163" s="390" t="s">
        <v>416</v>
      </c>
      <c r="D163" s="391"/>
      <c r="E163" s="35" t="s">
        <v>28</v>
      </c>
      <c r="F163" s="35" t="s">
        <v>28</v>
      </c>
      <c r="G163" s="224">
        <f>+G10+G27+G148/12</f>
        <v>6958.75</v>
      </c>
      <c r="H163" s="35">
        <f t="shared" ref="H163:Q163" si="88">+H10+H27+H148/12</f>
        <v>841</v>
      </c>
      <c r="I163" s="35">
        <f t="shared" si="88"/>
        <v>132</v>
      </c>
      <c r="J163" s="35">
        <f t="shared" si="88"/>
        <v>973</v>
      </c>
      <c r="K163" s="35">
        <f t="shared" si="88"/>
        <v>143360.18333333335</v>
      </c>
      <c r="L163" s="35">
        <f t="shared" si="88"/>
        <v>216394.24225000001</v>
      </c>
      <c r="M163" s="35">
        <f t="shared" si="88"/>
        <v>4096</v>
      </c>
      <c r="N163" s="35">
        <f t="shared" si="88"/>
        <v>9204.5008333333317</v>
      </c>
      <c r="O163" s="35">
        <f t="shared" si="88"/>
        <v>5897.916666666667</v>
      </c>
      <c r="P163" s="35">
        <f t="shared" si="88"/>
        <v>2639.8057916666662</v>
      </c>
      <c r="Q163" s="224">
        <f t="shared" si="88"/>
        <v>381592.64887499996</v>
      </c>
      <c r="R163" s="36">
        <f t="shared" si="78"/>
        <v>54.836378498293506</v>
      </c>
      <c r="S163" s="36">
        <f t="shared" si="79"/>
        <v>20.60142745943357</v>
      </c>
      <c r="T163" s="36">
        <f t="shared" si="80"/>
        <v>31.096711657984553</v>
      </c>
      <c r="U163" s="36">
        <f t="shared" si="81"/>
        <v>1.3227233099814379</v>
      </c>
      <c r="V163" s="36">
        <f t="shared" si="82"/>
        <v>0.84755403868031853</v>
      </c>
      <c r="W163" s="36">
        <f t="shared" si="83"/>
        <v>0.37935057182204651</v>
      </c>
    </row>
    <row r="164" spans="1:23" x14ac:dyDescent="0.2">
      <c r="A164" s="369"/>
      <c r="B164" s="33">
        <v>8</v>
      </c>
      <c r="C164" s="390" t="s">
        <v>426</v>
      </c>
      <c r="D164" s="391"/>
      <c r="E164" s="35" t="s">
        <v>28</v>
      </c>
      <c r="F164" s="35" t="s">
        <v>28</v>
      </c>
      <c r="G164" s="224">
        <f>+G11+G28+G148/12</f>
        <v>7172.75</v>
      </c>
      <c r="H164" s="35">
        <f t="shared" ref="H164:Q164" si="89">+H11+H28+H148/12</f>
        <v>982</v>
      </c>
      <c r="I164" s="35">
        <f t="shared" si="89"/>
        <v>5</v>
      </c>
      <c r="J164" s="35">
        <f t="shared" si="89"/>
        <v>987</v>
      </c>
      <c r="K164" s="35">
        <f t="shared" si="89"/>
        <v>147763.18333333335</v>
      </c>
      <c r="L164" s="35">
        <f t="shared" si="89"/>
        <v>218107.24225000001</v>
      </c>
      <c r="M164" s="35">
        <f t="shared" si="89"/>
        <v>4154</v>
      </c>
      <c r="N164" s="35">
        <f t="shared" si="89"/>
        <v>9530.5008333333317</v>
      </c>
      <c r="O164" s="35">
        <f t="shared" si="89"/>
        <v>5641.916666666667</v>
      </c>
      <c r="P164" s="35">
        <f t="shared" si="89"/>
        <v>2705.8057916666662</v>
      </c>
      <c r="Q164" s="224">
        <f t="shared" si="89"/>
        <v>387902.64887499996</v>
      </c>
      <c r="R164" s="36">
        <f t="shared" si="78"/>
        <v>54.080045850615171</v>
      </c>
      <c r="S164" s="36">
        <f t="shared" si="79"/>
        <v>20.60063202165604</v>
      </c>
      <c r="T164" s="36">
        <f t="shared" si="80"/>
        <v>30.407757450071454</v>
      </c>
      <c r="U164" s="36">
        <f t="shared" si="81"/>
        <v>1.3287094675449906</v>
      </c>
      <c r="V164" s="36">
        <f t="shared" si="82"/>
        <v>0.78657651063632039</v>
      </c>
      <c r="W164" s="36">
        <f t="shared" si="83"/>
        <v>0.37723408618265886</v>
      </c>
    </row>
    <row r="165" spans="1:23" x14ac:dyDescent="0.2">
      <c r="A165" s="369"/>
      <c r="B165" s="33">
        <v>9</v>
      </c>
      <c r="C165" s="390" t="s">
        <v>428</v>
      </c>
      <c r="D165" s="391"/>
      <c r="E165" s="35" t="s">
        <v>28</v>
      </c>
      <c r="F165" s="35" t="s">
        <v>28</v>
      </c>
      <c r="G165" s="224">
        <f>+G12+G29+G148/12</f>
        <v>8074.75</v>
      </c>
      <c r="H165" s="35">
        <f t="shared" ref="H165:Q165" si="90">+H12+H29+H148/12</f>
        <v>989</v>
      </c>
      <c r="I165" s="35">
        <f t="shared" si="90"/>
        <v>5</v>
      </c>
      <c r="J165" s="35">
        <f t="shared" si="90"/>
        <v>994</v>
      </c>
      <c r="K165" s="35">
        <f t="shared" si="90"/>
        <v>166333.18333333335</v>
      </c>
      <c r="L165" s="35">
        <f t="shared" si="90"/>
        <v>225334.24225000001</v>
      </c>
      <c r="M165" s="35">
        <f t="shared" si="90"/>
        <v>4185</v>
      </c>
      <c r="N165" s="35">
        <f t="shared" si="90"/>
        <v>10911.500833333332</v>
      </c>
      <c r="O165" s="35">
        <f t="shared" si="90"/>
        <v>5641.916666666667</v>
      </c>
      <c r="P165" s="35">
        <f t="shared" si="90"/>
        <v>2985.8057916666662</v>
      </c>
      <c r="Q165" s="224">
        <f t="shared" si="90"/>
        <v>415391.64887499996</v>
      </c>
      <c r="R165" s="36">
        <f t="shared" si="78"/>
        <v>51.443282934456171</v>
      </c>
      <c r="S165" s="36">
        <f t="shared" si="79"/>
        <v>20.599174381043792</v>
      </c>
      <c r="T165" s="36">
        <f t="shared" si="80"/>
        <v>27.906033282764174</v>
      </c>
      <c r="U165" s="36">
        <f t="shared" si="81"/>
        <v>1.3513112893072023</v>
      </c>
      <c r="V165" s="36">
        <f t="shared" si="82"/>
        <v>0.69871100240461526</v>
      </c>
      <c r="W165" s="36">
        <f t="shared" si="83"/>
        <v>0.36977067917479378</v>
      </c>
    </row>
    <row r="166" spans="1:23" x14ac:dyDescent="0.2">
      <c r="A166" s="369"/>
      <c r="B166" s="33">
        <v>10</v>
      </c>
      <c r="C166" s="390" t="s">
        <v>435</v>
      </c>
      <c r="D166" s="391"/>
      <c r="E166" s="35" t="s">
        <v>28</v>
      </c>
      <c r="F166" s="35" t="s">
        <v>28</v>
      </c>
      <c r="G166" s="224">
        <f>+G13+G30+G148/12</f>
        <v>8870.75</v>
      </c>
      <c r="H166" s="35">
        <f t="shared" ref="H166:Q166" si="91">+H13+H30+H148/12</f>
        <v>859</v>
      </c>
      <c r="I166" s="35">
        <f t="shared" si="91"/>
        <v>68</v>
      </c>
      <c r="J166" s="35">
        <f t="shared" si="91"/>
        <v>927</v>
      </c>
      <c r="K166" s="35">
        <f t="shared" si="91"/>
        <v>182731.18333333335</v>
      </c>
      <c r="L166" s="35">
        <f t="shared" si="91"/>
        <v>231717.24225000001</v>
      </c>
      <c r="M166" s="35">
        <f t="shared" si="91"/>
        <v>3902</v>
      </c>
      <c r="N166" s="35">
        <f t="shared" si="91"/>
        <v>12128.500833333332</v>
      </c>
      <c r="O166" s="35">
        <f t="shared" si="91"/>
        <v>5641.916666666667</v>
      </c>
      <c r="P166" s="35">
        <f t="shared" si="91"/>
        <v>4093.8057916666662</v>
      </c>
      <c r="Q166" s="224">
        <f t="shared" si="91"/>
        <v>440214.64887499996</v>
      </c>
      <c r="R166" s="36">
        <f t="shared" si="78"/>
        <v>49.625414860637484</v>
      </c>
      <c r="S166" s="36">
        <f t="shared" si="79"/>
        <v>20.599293558417649</v>
      </c>
      <c r="T166" s="36">
        <f t="shared" si="80"/>
        <v>26.12149392666911</v>
      </c>
      <c r="U166" s="36">
        <f t="shared" si="81"/>
        <v>1.3672463808960158</v>
      </c>
      <c r="V166" s="36">
        <f t="shared" si="82"/>
        <v>0.6360134900280886</v>
      </c>
      <c r="W166" s="36">
        <f t="shared" si="83"/>
        <v>0.46149488957153184</v>
      </c>
    </row>
    <row r="167" spans="1:23" x14ac:dyDescent="0.2">
      <c r="A167" s="369"/>
      <c r="B167" s="33">
        <v>11</v>
      </c>
      <c r="C167" s="390" t="s">
        <v>437</v>
      </c>
      <c r="D167" s="391"/>
      <c r="E167" s="35" t="s">
        <v>28</v>
      </c>
      <c r="F167" s="35" t="s">
        <v>28</v>
      </c>
      <c r="G167" s="224">
        <f>+G14+G31+G148/12</f>
        <v>9321.75</v>
      </c>
      <c r="H167" s="35">
        <f t="shared" ref="H167:Q167" si="92">+H14+H31+H148/12</f>
        <v>473</v>
      </c>
      <c r="I167" s="35">
        <f t="shared" si="92"/>
        <v>993</v>
      </c>
      <c r="J167" s="35">
        <f t="shared" si="92"/>
        <v>1466</v>
      </c>
      <c r="K167" s="35">
        <f t="shared" si="92"/>
        <v>192028.18333333335</v>
      </c>
      <c r="L167" s="35">
        <f t="shared" si="92"/>
        <v>235334.24225000001</v>
      </c>
      <c r="M167" s="35">
        <f t="shared" si="92"/>
        <v>6172</v>
      </c>
      <c r="N167" s="35">
        <f t="shared" si="92"/>
        <v>12818.500833333332</v>
      </c>
      <c r="O167" s="35">
        <f t="shared" si="92"/>
        <v>5641.916666666667</v>
      </c>
      <c r="P167" s="35">
        <f t="shared" si="92"/>
        <v>4356.8057916666658</v>
      </c>
      <c r="Q167" s="224">
        <f t="shared" si="92"/>
        <v>456351.64887499996</v>
      </c>
      <c r="R167" s="36">
        <f t="shared" si="78"/>
        <v>48.955576890068919</v>
      </c>
      <c r="S167" s="36">
        <f t="shared" si="79"/>
        <v>20.600014303465912</v>
      </c>
      <c r="T167" s="36">
        <f t="shared" si="80"/>
        <v>25.245714833588114</v>
      </c>
      <c r="U167" s="36">
        <f t="shared" si="81"/>
        <v>1.375117422515443</v>
      </c>
      <c r="V167" s="36">
        <f t="shared" si="82"/>
        <v>0.60524222025549568</v>
      </c>
      <c r="W167" s="36">
        <f t="shared" si="83"/>
        <v>0.46738067333565753</v>
      </c>
    </row>
    <row r="168" spans="1:23" ht="15" thickBot="1" x14ac:dyDescent="0.25">
      <c r="A168" s="383"/>
      <c r="B168" s="37">
        <v>12</v>
      </c>
      <c r="C168" s="386" t="s">
        <v>439</v>
      </c>
      <c r="D168" s="387"/>
      <c r="E168" s="38" t="s">
        <v>28</v>
      </c>
      <c r="F168" s="38" t="s">
        <v>28</v>
      </c>
      <c r="G168" s="224">
        <f>+G15+G32+G148/12</f>
        <v>8751.75</v>
      </c>
      <c r="H168" s="38">
        <f t="shared" ref="H168:Q168" si="93">+H15+H32+H148/12</f>
        <v>523</v>
      </c>
      <c r="I168" s="38">
        <f t="shared" si="93"/>
        <v>969</v>
      </c>
      <c r="J168" s="38">
        <f t="shared" si="93"/>
        <v>1492</v>
      </c>
      <c r="K168" s="38">
        <f t="shared" si="93"/>
        <v>180294.18333333335</v>
      </c>
      <c r="L168" s="38">
        <f t="shared" si="93"/>
        <v>230767.24225000001</v>
      </c>
      <c r="M168" s="38">
        <f t="shared" si="93"/>
        <v>6280</v>
      </c>
      <c r="N168" s="38">
        <f t="shared" si="93"/>
        <v>11948.500833333332</v>
      </c>
      <c r="O168" s="38">
        <f t="shared" si="93"/>
        <v>5641.916666666667</v>
      </c>
      <c r="P168" s="38">
        <f t="shared" si="93"/>
        <v>4024.8057916666662</v>
      </c>
      <c r="Q168" s="225">
        <f t="shared" si="93"/>
        <v>438956.64887499996</v>
      </c>
      <c r="R168" s="39">
        <f t="shared" si="78"/>
        <v>50.156442868569137</v>
      </c>
      <c r="S168" s="39">
        <f t="shared" si="79"/>
        <v>20.600929337941938</v>
      </c>
      <c r="T168" s="39">
        <f t="shared" si="80"/>
        <v>26.368125489187879</v>
      </c>
      <c r="U168" s="39">
        <f t="shared" si="81"/>
        <v>1.3652698984012719</v>
      </c>
      <c r="V168" s="39">
        <f t="shared" si="82"/>
        <v>0.64466154388169994</v>
      </c>
      <c r="W168" s="39">
        <f t="shared" si="83"/>
        <v>0.45988582759638541</v>
      </c>
    </row>
    <row r="169" spans="1:23" ht="16.5" thickTop="1" thickBot="1" x14ac:dyDescent="0.25">
      <c r="A169" s="361" t="s">
        <v>6</v>
      </c>
      <c r="B169" s="362"/>
      <c r="C169" s="362"/>
      <c r="D169" s="363"/>
      <c r="E169" s="40" t="s">
        <v>28</v>
      </c>
      <c r="F169" s="40" t="s">
        <v>28</v>
      </c>
      <c r="G169" s="40">
        <f t="shared" ref="G169:Q169" si="94">SUM(G157:G168)</f>
        <v>97041</v>
      </c>
      <c r="H169" s="40">
        <f t="shared" si="94"/>
        <v>7733</v>
      </c>
      <c r="I169" s="40">
        <f t="shared" si="94"/>
        <v>4605</v>
      </c>
      <c r="J169" s="40">
        <f t="shared" si="94"/>
        <v>12338</v>
      </c>
      <c r="K169" s="40">
        <f t="shared" si="94"/>
        <v>1999054.2000000002</v>
      </c>
      <c r="L169" s="40">
        <f t="shared" si="94"/>
        <v>2664582.9070000011</v>
      </c>
      <c r="M169" s="40">
        <f t="shared" si="94"/>
        <v>50656</v>
      </c>
      <c r="N169" s="40">
        <f t="shared" si="94"/>
        <v>122319.00999999995</v>
      </c>
      <c r="O169" s="40">
        <f t="shared" si="94"/>
        <v>100258.00000000004</v>
      </c>
      <c r="P169" s="40">
        <f t="shared" si="94"/>
        <v>38549.669499999996</v>
      </c>
      <c r="Q169" s="40">
        <f t="shared" si="94"/>
        <v>4975419.7864999995</v>
      </c>
      <c r="R169" s="41">
        <f t="shared" si="78"/>
        <v>51.2713161086551</v>
      </c>
      <c r="S169" s="41">
        <f t="shared" si="79"/>
        <v>20.600098927257552</v>
      </c>
      <c r="T169" s="41">
        <f t="shared" si="80"/>
        <v>27.458320781937541</v>
      </c>
      <c r="U169" s="41">
        <f t="shared" si="81"/>
        <v>1.2604879380880241</v>
      </c>
      <c r="V169" s="41">
        <f t="shared" si="82"/>
        <v>1.0331509362022242</v>
      </c>
      <c r="W169" s="41">
        <f t="shared" si="83"/>
        <v>0.39725136282602197</v>
      </c>
    </row>
    <row r="170" spans="1:23" ht="15" thickTop="1" x14ac:dyDescent="0.2"/>
    <row r="171" spans="1:23" x14ac:dyDescent="0.2">
      <c r="G171" s="48"/>
    </row>
    <row r="172" spans="1:23" x14ac:dyDescent="0.2">
      <c r="G172" s="48"/>
    </row>
  </sheetData>
  <mergeCells count="188">
    <mergeCell ref="A169:D169"/>
    <mergeCell ref="A157:A168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A155:A156"/>
    <mergeCell ref="B155:B156"/>
    <mergeCell ref="C155:D155"/>
    <mergeCell ref="E155:E156"/>
    <mergeCell ref="F155:F156"/>
    <mergeCell ref="G155:G156"/>
    <mergeCell ref="H155:J155"/>
    <mergeCell ref="K155:Q155"/>
    <mergeCell ref="R155:W155"/>
    <mergeCell ref="A1:U1"/>
    <mergeCell ref="V1:W1"/>
    <mergeCell ref="A2:A3"/>
    <mergeCell ref="B2:B3"/>
    <mergeCell ref="C2:D2"/>
    <mergeCell ref="E2:E3"/>
    <mergeCell ref="F2:F3"/>
    <mergeCell ref="G2:G3"/>
    <mergeCell ref="H2:J2"/>
    <mergeCell ref="K2:Q2"/>
    <mergeCell ref="C12:D12"/>
    <mergeCell ref="C13:D13"/>
    <mergeCell ref="C14:D14"/>
    <mergeCell ref="C15:D15"/>
    <mergeCell ref="A16:D16"/>
    <mergeCell ref="A19:A20"/>
    <mergeCell ref="B19:B20"/>
    <mergeCell ref="C19:D19"/>
    <mergeCell ref="R2:W2"/>
    <mergeCell ref="A4:A15"/>
    <mergeCell ref="C4:D4"/>
    <mergeCell ref="C5:D5"/>
    <mergeCell ref="C6:D6"/>
    <mergeCell ref="C7:D7"/>
    <mergeCell ref="C8:D8"/>
    <mergeCell ref="C9:D9"/>
    <mergeCell ref="C10:D10"/>
    <mergeCell ref="C11:D11"/>
    <mergeCell ref="I17:J17"/>
    <mergeCell ref="L17:O17"/>
    <mergeCell ref="S17:T17"/>
    <mergeCell ref="R36:W36"/>
    <mergeCell ref="A38:A50"/>
    <mergeCell ref="C30:D30"/>
    <mergeCell ref="C31:D31"/>
    <mergeCell ref="C32:D32"/>
    <mergeCell ref="A33:D33"/>
    <mergeCell ref="A36:A37"/>
    <mergeCell ref="B36:B37"/>
    <mergeCell ref="C36:D36"/>
    <mergeCell ref="E36:E37"/>
    <mergeCell ref="F36:F37"/>
    <mergeCell ref="A21:A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4:F34"/>
    <mergeCell ref="G34:H34"/>
    <mergeCell ref="I34:J34"/>
    <mergeCell ref="A51:D51"/>
    <mergeCell ref="A54:A55"/>
    <mergeCell ref="B54:B55"/>
    <mergeCell ref="C54:D54"/>
    <mergeCell ref="E54:E55"/>
    <mergeCell ref="F54:F55"/>
    <mergeCell ref="G36:G37"/>
    <mergeCell ref="H36:J36"/>
    <mergeCell ref="K36:Q36"/>
    <mergeCell ref="I52:J52"/>
    <mergeCell ref="L52:O52"/>
    <mergeCell ref="A74:A86"/>
    <mergeCell ref="A69:D69"/>
    <mergeCell ref="A72:A73"/>
    <mergeCell ref="B72:B73"/>
    <mergeCell ref="C72:D72"/>
    <mergeCell ref="E72:E73"/>
    <mergeCell ref="G54:G55"/>
    <mergeCell ref="H54:J54"/>
    <mergeCell ref="K54:Q54"/>
    <mergeCell ref="A56:A68"/>
    <mergeCell ref="A92:A104"/>
    <mergeCell ref="E90:E91"/>
    <mergeCell ref="F90:F91"/>
    <mergeCell ref="G90:G91"/>
    <mergeCell ref="H90:J90"/>
    <mergeCell ref="K90:Q90"/>
    <mergeCell ref="R90:W90"/>
    <mergeCell ref="A87:D87"/>
    <mergeCell ref="A90:A91"/>
    <mergeCell ref="B90:B91"/>
    <mergeCell ref="C90:D90"/>
    <mergeCell ref="I88:J88"/>
    <mergeCell ref="L88:O88"/>
    <mergeCell ref="S88:T88"/>
    <mergeCell ref="A110:A122"/>
    <mergeCell ref="E108:E109"/>
    <mergeCell ref="F108:F109"/>
    <mergeCell ref="G108:G109"/>
    <mergeCell ref="H108:J108"/>
    <mergeCell ref="K108:Q108"/>
    <mergeCell ref="R108:W108"/>
    <mergeCell ref="A105:D105"/>
    <mergeCell ref="A108:A109"/>
    <mergeCell ref="B108:B109"/>
    <mergeCell ref="C108:D108"/>
    <mergeCell ref="B106:F106"/>
    <mergeCell ref="G106:H106"/>
    <mergeCell ref="I106:J106"/>
    <mergeCell ref="L106:O106"/>
    <mergeCell ref="S106:T106"/>
    <mergeCell ref="G126:G127"/>
    <mergeCell ref="H126:J126"/>
    <mergeCell ref="K126:Q126"/>
    <mergeCell ref="R126:W126"/>
    <mergeCell ref="A123:D123"/>
    <mergeCell ref="A126:A127"/>
    <mergeCell ref="B126:B127"/>
    <mergeCell ref="C126:D126"/>
    <mergeCell ref="B124:F124"/>
    <mergeCell ref="L34:O34"/>
    <mergeCell ref="S34:T34"/>
    <mergeCell ref="B17:F17"/>
    <mergeCell ref="G17:H17"/>
    <mergeCell ref="E19:E20"/>
    <mergeCell ref="F19:F20"/>
    <mergeCell ref="G19:G20"/>
    <mergeCell ref="H19:J19"/>
    <mergeCell ref="K19:Q19"/>
    <mergeCell ref="R19:W19"/>
    <mergeCell ref="S52:T52"/>
    <mergeCell ref="B70:F70"/>
    <mergeCell ref="G70:H70"/>
    <mergeCell ref="I70:J70"/>
    <mergeCell ref="L70:O70"/>
    <mergeCell ref="S70:T70"/>
    <mergeCell ref="B52:F52"/>
    <mergeCell ref="G52:H52"/>
    <mergeCell ref="B88:F88"/>
    <mergeCell ref="G88:H88"/>
    <mergeCell ref="F72:F73"/>
    <mergeCell ref="G72:G73"/>
    <mergeCell ref="H72:J72"/>
    <mergeCell ref="K72:Q72"/>
    <mergeCell ref="R72:W72"/>
    <mergeCell ref="R54:W54"/>
    <mergeCell ref="A147:A149"/>
    <mergeCell ref="A150:D150"/>
    <mergeCell ref="G124:H124"/>
    <mergeCell ref="I124:J124"/>
    <mergeCell ref="L124:O124"/>
    <mergeCell ref="S124:T124"/>
    <mergeCell ref="B142:F142"/>
    <mergeCell ref="G142:H142"/>
    <mergeCell ref="I142:J142"/>
    <mergeCell ref="L142:O142"/>
    <mergeCell ref="S142:T142"/>
    <mergeCell ref="E145:E146"/>
    <mergeCell ref="F145:F146"/>
    <mergeCell ref="G145:G146"/>
    <mergeCell ref="H145:J145"/>
    <mergeCell ref="K145:Q145"/>
    <mergeCell ref="R145:W145"/>
    <mergeCell ref="A141:D141"/>
    <mergeCell ref="A145:A146"/>
    <mergeCell ref="B145:B146"/>
    <mergeCell ref="C145:D145"/>
    <mergeCell ref="A128:A140"/>
    <mergeCell ref="E126:E127"/>
    <mergeCell ref="F126:F127"/>
  </mergeCells>
  <pageMargins left="0.31496062992125984" right="0.31496062992125984" top="0.35433070866141736" bottom="0.35433070866141736" header="0.31496062992125984" footer="0.31496062992125984"/>
  <pageSetup paperSize="9" scale="55" fitToHeight="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26"/>
  <sheetViews>
    <sheetView topLeftCell="A4" workbookViewId="0">
      <selection activeCell="E13" sqref="E13:E24"/>
    </sheetView>
  </sheetViews>
  <sheetFormatPr defaultRowHeight="14.25" x14ac:dyDescent="0.2"/>
  <cols>
    <col min="1" max="1" width="8" style="25" customWidth="1"/>
    <col min="2" max="2" width="10.5703125" style="25" customWidth="1"/>
    <col min="3" max="3" width="12.7109375" style="25" customWidth="1"/>
    <col min="4" max="4" width="13.140625" style="25" customWidth="1"/>
    <col min="5" max="5" width="14.42578125" style="25" customWidth="1"/>
    <col min="6" max="6" width="13.28515625" style="25" customWidth="1"/>
    <col min="7" max="7" width="15" style="25" customWidth="1"/>
    <col min="8" max="8" width="10" style="25" customWidth="1"/>
    <col min="9" max="9" width="9.5703125" style="25" customWidth="1"/>
    <col min="10" max="10" width="11.28515625" style="25" customWidth="1"/>
    <col min="11" max="11" width="11.7109375" style="25" customWidth="1"/>
    <col min="12" max="12" width="15" style="25" customWidth="1"/>
    <col min="13" max="13" width="11.5703125" style="25" customWidth="1"/>
    <col min="14" max="14" width="13" style="25" customWidth="1"/>
    <col min="15" max="15" width="13.7109375" style="25" customWidth="1"/>
    <col min="16" max="16" width="10" style="25" customWidth="1"/>
    <col min="17" max="17" width="13.5703125" style="25" customWidth="1"/>
    <col min="18" max="18" width="12" style="25" customWidth="1"/>
    <col min="19" max="19" width="8.28515625" style="25" customWidth="1"/>
    <col min="20" max="20" width="10" style="25" customWidth="1"/>
    <col min="21" max="21" width="8.28515625" style="25" customWidth="1"/>
    <col min="22" max="22" width="7.85546875" style="25" customWidth="1"/>
    <col min="23" max="23" width="10" style="25" customWidth="1"/>
    <col min="24" max="16384" width="9.140625" style="25"/>
  </cols>
  <sheetData>
    <row r="1" spans="1:23" ht="39" customHeight="1" thickBot="1" x14ac:dyDescent="0.25">
      <c r="A1" s="356" t="s">
        <v>82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 t="s">
        <v>71</v>
      </c>
      <c r="W1" s="356"/>
    </row>
    <row r="2" spans="1:23" ht="53.25" customHeight="1" thickTop="1" thickBot="1" x14ac:dyDescent="0.25">
      <c r="A2" s="384" t="s">
        <v>64</v>
      </c>
      <c r="B2" s="364" t="s">
        <v>175</v>
      </c>
      <c r="C2" s="360" t="s">
        <v>5</v>
      </c>
      <c r="D2" s="360"/>
      <c r="E2" s="360" t="s">
        <v>310</v>
      </c>
      <c r="F2" s="360" t="s">
        <v>30</v>
      </c>
      <c r="G2" s="364" t="s">
        <v>311</v>
      </c>
      <c r="H2" s="357" t="s">
        <v>313</v>
      </c>
      <c r="I2" s="358"/>
      <c r="J2" s="359"/>
      <c r="K2" s="357" t="s">
        <v>312</v>
      </c>
      <c r="L2" s="358"/>
      <c r="M2" s="358"/>
      <c r="N2" s="358"/>
      <c r="O2" s="358"/>
      <c r="P2" s="358"/>
      <c r="Q2" s="359"/>
      <c r="R2" s="357" t="s">
        <v>31</v>
      </c>
      <c r="S2" s="358"/>
      <c r="T2" s="358"/>
      <c r="U2" s="358"/>
      <c r="V2" s="358"/>
      <c r="W2" s="359"/>
    </row>
    <row r="3" spans="1:23" ht="105" customHeight="1" thickTop="1" thickBot="1" x14ac:dyDescent="0.25">
      <c r="A3" s="385"/>
      <c r="B3" s="365"/>
      <c r="C3" s="60" t="s">
        <v>3</v>
      </c>
      <c r="D3" s="60" t="s">
        <v>4</v>
      </c>
      <c r="E3" s="360"/>
      <c r="F3" s="360"/>
      <c r="G3" s="365"/>
      <c r="H3" s="60" t="s">
        <v>17</v>
      </c>
      <c r="I3" s="60" t="s">
        <v>68</v>
      </c>
      <c r="J3" s="60" t="s">
        <v>6</v>
      </c>
      <c r="K3" s="60" t="s">
        <v>9</v>
      </c>
      <c r="L3" s="60" t="s">
        <v>10</v>
      </c>
      <c r="M3" s="60" t="s">
        <v>12</v>
      </c>
      <c r="N3" s="60" t="s">
        <v>24</v>
      </c>
      <c r="O3" s="60" t="s">
        <v>25</v>
      </c>
      <c r="P3" s="60" t="s">
        <v>379</v>
      </c>
      <c r="Q3" s="60" t="s">
        <v>23</v>
      </c>
      <c r="R3" s="61" t="s">
        <v>6</v>
      </c>
      <c r="S3" s="61" t="s">
        <v>22</v>
      </c>
      <c r="T3" s="61" t="s">
        <v>20</v>
      </c>
      <c r="U3" s="61" t="s">
        <v>32</v>
      </c>
      <c r="V3" s="61" t="s">
        <v>33</v>
      </c>
      <c r="W3" s="61" t="s">
        <v>386</v>
      </c>
    </row>
    <row r="4" spans="1:23" ht="51.75" customHeight="1" thickTop="1" thickBot="1" x14ac:dyDescent="0.25">
      <c r="A4" s="368" t="s">
        <v>83</v>
      </c>
      <c r="B4" s="187" t="s">
        <v>72</v>
      </c>
      <c r="C4" s="188">
        <v>44197</v>
      </c>
      <c r="D4" s="189">
        <v>44561</v>
      </c>
      <c r="E4" s="190">
        <f>+' Villamos Energia Baja'!E203</f>
        <v>124</v>
      </c>
      <c r="F4" s="190" t="s">
        <v>28</v>
      </c>
      <c r="G4" s="212">
        <f>+' Villamos Energia Baja'!G206</f>
        <v>389686</v>
      </c>
      <c r="H4" s="190">
        <f>+' Villamos Energia Baja'!H206</f>
        <v>25693</v>
      </c>
      <c r="I4" s="190">
        <f>+' Villamos Energia Baja'!I206</f>
        <v>1352</v>
      </c>
      <c r="J4" s="190">
        <f>+I4+H4</f>
        <v>27045</v>
      </c>
      <c r="K4" s="190">
        <f>+' Villamos Energia Baja'!K206</f>
        <v>8027532.5999999996</v>
      </c>
      <c r="L4" s="190">
        <f>+' Villamos Energia Baja'!L206</f>
        <v>6202370.6952</v>
      </c>
      <c r="M4" s="190">
        <f>+' Villamos Energia Baja'!M206</f>
        <v>111538</v>
      </c>
      <c r="N4" s="190">
        <f>+' Villamos Energia Baja'!N206</f>
        <v>473389.35000000003</v>
      </c>
      <c r="O4" s="190">
        <f>+' Villamos Energia Baja'!O206</f>
        <v>459290.72</v>
      </c>
      <c r="P4" s="190">
        <f>+' Villamos Energia Baja'!P206</f>
        <v>149065.33000000002</v>
      </c>
      <c r="Q4" s="212">
        <f>+P4+O4+N4+M4+L4+K4</f>
        <v>15423186.6952</v>
      </c>
      <c r="R4" s="191">
        <f>+Q4/G4</f>
        <v>39.578498317106593</v>
      </c>
      <c r="S4" s="191">
        <f>+K4/G4</f>
        <v>20.600002566168659</v>
      </c>
      <c r="T4" s="191">
        <f>+L4/G4</f>
        <v>15.91632928870937</v>
      </c>
      <c r="U4" s="191">
        <f>+N4/G4</f>
        <v>1.2147969134123373</v>
      </c>
      <c r="V4" s="191">
        <f>+O4/G4</f>
        <v>1.1786174509733478</v>
      </c>
      <c r="W4" s="191">
        <f>+P4/G4</f>
        <v>0.38252677796995532</v>
      </c>
    </row>
    <row r="5" spans="1:23" ht="49.5" customHeight="1" thickTop="1" thickBot="1" x14ac:dyDescent="0.25">
      <c r="A5" s="369"/>
      <c r="B5" s="82" t="s">
        <v>174</v>
      </c>
      <c r="C5" s="83">
        <v>44197</v>
      </c>
      <c r="D5" s="84">
        <v>44561</v>
      </c>
      <c r="E5" s="85">
        <f>+'Villamos Energia Kalocsa'!E147</f>
        <v>88</v>
      </c>
      <c r="F5" s="85" t="s">
        <v>28</v>
      </c>
      <c r="G5" s="213">
        <f>+'Villamos Energia Kalocsa'!G150</f>
        <v>97041</v>
      </c>
      <c r="H5" s="85">
        <f>+'Villamos Energia Kalocsa'!H150</f>
        <v>7733</v>
      </c>
      <c r="I5" s="85">
        <f>+'Villamos Energia Kalocsa'!I150</f>
        <v>4605</v>
      </c>
      <c r="J5" s="178">
        <f>+I5+H5</f>
        <v>12338</v>
      </c>
      <c r="K5" s="178">
        <f>+'Villamos Energia Kalocsa'!K150</f>
        <v>1999054.2</v>
      </c>
      <c r="L5" s="178">
        <f>+'Villamos Energia Kalocsa'!L150</f>
        <v>2664582.9070000001</v>
      </c>
      <c r="M5" s="178">
        <f>+'Villamos Energia Kalocsa'!M150</f>
        <v>50656</v>
      </c>
      <c r="N5" s="178">
        <f>+'Villamos Energia Kalocsa'!N150</f>
        <v>122319.01</v>
      </c>
      <c r="O5" s="178">
        <f>+'Villamos Energia Kalocsa'!O150</f>
        <v>100258</v>
      </c>
      <c r="P5" s="178">
        <f>+'Villamos Energia Kalocsa'!P150</f>
        <v>38549.669499999996</v>
      </c>
      <c r="Q5" s="213">
        <f>+P5+O5+N5+M5+L5+K5</f>
        <v>4975419.7865000004</v>
      </c>
      <c r="R5" s="183">
        <f>+Q5/G5</f>
        <v>51.271316108655107</v>
      </c>
      <c r="S5" s="183">
        <f>+K5/G5</f>
        <v>20.600098927257552</v>
      </c>
      <c r="T5" s="183">
        <f>+L5/G5</f>
        <v>27.458320781937534</v>
      </c>
      <c r="U5" s="183">
        <f>+N5/G5</f>
        <v>1.2604879380880245</v>
      </c>
      <c r="V5" s="183">
        <f>+O5/G5</f>
        <v>1.0331509362022238</v>
      </c>
      <c r="W5" s="183">
        <f>+P5/G5</f>
        <v>0.39725136282602197</v>
      </c>
    </row>
    <row r="6" spans="1:23" ht="31.5" customHeight="1" thickTop="1" thickBot="1" x14ac:dyDescent="0.25">
      <c r="A6" s="361" t="s">
        <v>83</v>
      </c>
      <c r="B6" s="362"/>
      <c r="C6" s="362"/>
      <c r="D6" s="363"/>
      <c r="E6" s="40">
        <f>SUM(E4:E5)</f>
        <v>212</v>
      </c>
      <c r="F6" s="40" t="s">
        <v>28</v>
      </c>
      <c r="G6" s="40">
        <f>SUM(G4:G5)</f>
        <v>486727</v>
      </c>
      <c r="H6" s="40">
        <f t="shared" ref="H6:O6" si="0">SUM(H4:H5)</f>
        <v>33426</v>
      </c>
      <c r="I6" s="40">
        <f t="shared" si="0"/>
        <v>5957</v>
      </c>
      <c r="J6" s="40">
        <f t="shared" si="0"/>
        <v>39383</v>
      </c>
      <c r="K6" s="40">
        <f t="shared" si="0"/>
        <v>10026586.799999999</v>
      </c>
      <c r="L6" s="40">
        <f t="shared" si="0"/>
        <v>8866953.6021999996</v>
      </c>
      <c r="M6" s="40">
        <f t="shared" si="0"/>
        <v>162194</v>
      </c>
      <c r="N6" s="40">
        <f t="shared" si="0"/>
        <v>595708.36</v>
      </c>
      <c r="O6" s="40">
        <f t="shared" si="0"/>
        <v>559548.72</v>
      </c>
      <c r="P6" s="40">
        <f>SUM(P4:P5)</f>
        <v>187614.99950000001</v>
      </c>
      <c r="Q6" s="40">
        <f>SUM(Q4:Q5)</f>
        <v>20398606.481699999</v>
      </c>
      <c r="R6" s="41">
        <f>+Q6/G6</f>
        <v>41.90974916472684</v>
      </c>
      <c r="S6" s="41">
        <f>+K6/G6</f>
        <v>20.600021778122024</v>
      </c>
      <c r="T6" s="41">
        <f>+L6/G6</f>
        <v>18.217509203722003</v>
      </c>
      <c r="U6" s="41">
        <f>+N6/G6</f>
        <v>1.2239065430929452</v>
      </c>
      <c r="V6" s="41">
        <f>+O6/G6</f>
        <v>1.149615123056662</v>
      </c>
      <c r="W6" s="41">
        <f>+P6/G6</f>
        <v>0.38546248615753803</v>
      </c>
    </row>
    <row r="7" spans="1:23" ht="15" thickTop="1" x14ac:dyDescent="0.2"/>
    <row r="8" spans="1:23" x14ac:dyDescent="0.2">
      <c r="A8" s="25" t="s">
        <v>332</v>
      </c>
    </row>
    <row r="10" spans="1:23" ht="15" thickBot="1" x14ac:dyDescent="0.25">
      <c r="G10" s="48"/>
    </row>
    <row r="11" spans="1:23" ht="51" customHeight="1" thickTop="1" thickBot="1" x14ac:dyDescent="0.25">
      <c r="A11" s="392" t="s">
        <v>64</v>
      </c>
      <c r="B11" s="375" t="s">
        <v>5</v>
      </c>
      <c r="C11" s="375"/>
      <c r="D11" s="376" t="s">
        <v>346</v>
      </c>
      <c r="E11" s="376" t="s">
        <v>11</v>
      </c>
      <c r="F11" s="376" t="s">
        <v>31</v>
      </c>
    </row>
    <row r="12" spans="1:23" ht="43.5" customHeight="1" thickTop="1" thickBot="1" x14ac:dyDescent="0.25">
      <c r="A12" s="393"/>
      <c r="B12" s="220" t="s">
        <v>3</v>
      </c>
      <c r="C12" s="220" t="s">
        <v>4</v>
      </c>
      <c r="D12" s="377"/>
      <c r="E12" s="377"/>
      <c r="F12" s="377"/>
    </row>
    <row r="13" spans="1:23" ht="15" thickTop="1" x14ac:dyDescent="0.2">
      <c r="A13" s="368" t="s">
        <v>347</v>
      </c>
      <c r="B13" s="388" t="s">
        <v>406</v>
      </c>
      <c r="C13" s="389"/>
      <c r="D13" s="223">
        <f>+' Villamos Energia Baja'!G211+'Villamos Energia Kalocsa'!G157</f>
        <v>43033.166666666672</v>
      </c>
      <c r="E13" s="223">
        <f>+' Villamos Energia Baja'!Q211+'Villamos Energia Kalocsa'!Q157</f>
        <v>1741717.7901416668</v>
      </c>
      <c r="F13" s="32">
        <f>+E13/D13</f>
        <v>40.473846687438758</v>
      </c>
    </row>
    <row r="14" spans="1:23" x14ac:dyDescent="0.2">
      <c r="A14" s="369"/>
      <c r="B14" s="390" t="s">
        <v>411</v>
      </c>
      <c r="C14" s="391"/>
      <c r="D14" s="224">
        <f>+' Villamos Energia Baja'!G212+'Villamos Energia Kalocsa'!G158</f>
        <v>42033.166666666672</v>
      </c>
      <c r="E14" s="224">
        <f>+' Villamos Energia Baja'!Q212+'Villamos Energia Kalocsa'!Q158</f>
        <v>1738169.7901416668</v>
      </c>
      <c r="F14" s="36">
        <f t="shared" ref="F14:F25" si="1">+E14/D14</f>
        <v>41.352339782671621</v>
      </c>
    </row>
    <row r="15" spans="1:23" ht="14.25" customHeight="1" x14ac:dyDescent="0.2">
      <c r="A15" s="369"/>
      <c r="B15" s="390" t="s">
        <v>412</v>
      </c>
      <c r="C15" s="391"/>
      <c r="D15" s="224">
        <f>+' Villamos Energia Baja'!G213+'Villamos Energia Kalocsa'!G159</f>
        <v>38072.166666666672</v>
      </c>
      <c r="E15" s="224">
        <f>+' Villamos Energia Baja'!Q213+'Villamos Energia Kalocsa'!Q159</f>
        <v>1621151.7901416668</v>
      </c>
      <c r="F15" s="36">
        <f t="shared" si="1"/>
        <v>42.581022623044831</v>
      </c>
    </row>
    <row r="16" spans="1:23" ht="14.25" customHeight="1" x14ac:dyDescent="0.2">
      <c r="A16" s="369"/>
      <c r="B16" s="390" t="s">
        <v>413</v>
      </c>
      <c r="C16" s="391"/>
      <c r="D16" s="224">
        <f>+' Villamos Energia Baja'!G214+'Villamos Energia Kalocsa'!G160</f>
        <v>37452.166666666672</v>
      </c>
      <c r="E16" s="224">
        <f>+' Villamos Energia Baja'!Q214+'Villamos Energia Kalocsa'!Q160</f>
        <v>1625871.7901416668</v>
      </c>
      <c r="F16" s="36">
        <f t="shared" si="1"/>
        <v>43.411955431372462</v>
      </c>
    </row>
    <row r="17" spans="1:6" ht="14.25" customHeight="1" x14ac:dyDescent="0.2">
      <c r="A17" s="369"/>
      <c r="B17" s="390" t="s">
        <v>414</v>
      </c>
      <c r="C17" s="391"/>
      <c r="D17" s="224">
        <f>+' Villamos Energia Baja'!G215+'Villamos Energia Kalocsa'!G161</f>
        <v>39902.166666666672</v>
      </c>
      <c r="E17" s="224">
        <f>+' Villamos Energia Baja'!Q215+'Villamos Energia Kalocsa'!Q161</f>
        <v>1712071.7901416668</v>
      </c>
      <c r="F17" s="36">
        <f t="shared" si="1"/>
        <v>42.906737482300457</v>
      </c>
    </row>
    <row r="18" spans="1:6" ht="14.25" customHeight="1" x14ac:dyDescent="0.2">
      <c r="A18" s="369"/>
      <c r="B18" s="390" t="s">
        <v>415</v>
      </c>
      <c r="C18" s="391"/>
      <c r="D18" s="224">
        <f>+' Villamos Energia Baja'!G216+'Villamos Energia Kalocsa'!G162</f>
        <v>41488.166666666672</v>
      </c>
      <c r="E18" s="224">
        <f>+' Villamos Energia Baja'!Q216+'Villamos Energia Kalocsa'!Q162</f>
        <v>1737396.7901416668</v>
      </c>
      <c r="F18" s="36">
        <f t="shared" si="1"/>
        <v>41.876923704550293</v>
      </c>
    </row>
    <row r="19" spans="1:6" x14ac:dyDescent="0.2">
      <c r="A19" s="369"/>
      <c r="B19" s="390" t="s">
        <v>416</v>
      </c>
      <c r="C19" s="391"/>
      <c r="D19" s="224">
        <f>+' Villamos Energia Baja'!G217+'Villamos Energia Kalocsa'!G163</f>
        <v>35465.166666666672</v>
      </c>
      <c r="E19" s="224">
        <f>+' Villamos Energia Baja'!Q217+'Villamos Energia Kalocsa'!Q163</f>
        <v>1538554.7901416668</v>
      </c>
      <c r="F19" s="36">
        <f t="shared" si="1"/>
        <v>43.382139004234197</v>
      </c>
    </row>
    <row r="20" spans="1:6" x14ac:dyDescent="0.2">
      <c r="A20" s="369"/>
      <c r="B20" s="390" t="s">
        <v>426</v>
      </c>
      <c r="C20" s="391"/>
      <c r="D20" s="224">
        <f>+' Villamos Energia Baja'!G218+'Villamos Energia Kalocsa'!G164</f>
        <v>36819.166666666672</v>
      </c>
      <c r="E20" s="224">
        <f>+' Villamos Energia Baja'!Q218+'Villamos Energia Kalocsa'!Q164</f>
        <v>1584128.7901416668</v>
      </c>
      <c r="F20" s="36">
        <f t="shared" si="1"/>
        <v>43.024569363103453</v>
      </c>
    </row>
    <row r="21" spans="1:6" x14ac:dyDescent="0.2">
      <c r="A21" s="369"/>
      <c r="B21" s="390" t="s">
        <v>428</v>
      </c>
      <c r="C21" s="391"/>
      <c r="D21" s="224">
        <f>+' Villamos Energia Baja'!G219+'Villamos Energia Kalocsa'!G165</f>
        <v>42047.166666666672</v>
      </c>
      <c r="E21" s="224">
        <f>+' Villamos Energia Baja'!Q219+'Villamos Energia Kalocsa'!Q165</f>
        <v>1734292.7901416668</v>
      </c>
      <c r="F21" s="36">
        <f t="shared" si="1"/>
        <v>41.246365156788208</v>
      </c>
    </row>
    <row r="22" spans="1:6" x14ac:dyDescent="0.2">
      <c r="A22" s="369"/>
      <c r="B22" s="390" t="s">
        <v>435</v>
      </c>
      <c r="C22" s="391"/>
      <c r="D22" s="224">
        <f>+' Villamos Energia Baja'!G220+'Villamos Energia Kalocsa'!G166</f>
        <v>42998.166666666672</v>
      </c>
      <c r="E22" s="224">
        <f>+' Villamos Energia Baja'!Q220+'Villamos Energia Kalocsa'!Q166</f>
        <v>1770280.7901416668</v>
      </c>
      <c r="F22" s="36">
        <f t="shared" si="1"/>
        <v>41.171076056924903</v>
      </c>
    </row>
    <row r="23" spans="1:6" x14ac:dyDescent="0.2">
      <c r="A23" s="369"/>
      <c r="B23" s="390" t="s">
        <v>437</v>
      </c>
      <c r="C23" s="391"/>
      <c r="D23" s="224">
        <f>+' Villamos Energia Baja'!G221+'Villamos Energia Kalocsa'!G167</f>
        <v>45010.166666666672</v>
      </c>
      <c r="E23" s="224">
        <f>+' Villamos Energia Baja'!Q221+'Villamos Energia Kalocsa'!Q167</f>
        <v>1838036.7901416668</v>
      </c>
      <c r="F23" s="36">
        <f t="shared" si="1"/>
        <v>40.83603608388475</v>
      </c>
    </row>
    <row r="24" spans="1:6" ht="15" thickBot="1" x14ac:dyDescent="0.25">
      <c r="A24" s="383"/>
      <c r="B24" s="386" t="s">
        <v>439</v>
      </c>
      <c r="C24" s="387"/>
      <c r="D24" s="224">
        <f>+' Villamos Energia Baja'!G222+'Villamos Energia Kalocsa'!G168</f>
        <v>42406.166666666672</v>
      </c>
      <c r="E24" s="224">
        <f>+' Villamos Energia Baja'!Q222+'Villamos Energia Kalocsa'!Q168</f>
        <v>1756932.7901416668</v>
      </c>
      <c r="F24" s="39">
        <f t="shared" si="1"/>
        <v>41.431068362109279</v>
      </c>
    </row>
    <row r="25" spans="1:6" ht="33.75" customHeight="1" thickTop="1" thickBot="1" x14ac:dyDescent="0.25">
      <c r="A25" s="361" t="s">
        <v>6</v>
      </c>
      <c r="B25" s="362"/>
      <c r="C25" s="363"/>
      <c r="D25" s="40">
        <f t="shared" ref="D25:E25" si="2">SUM(D13:D24)</f>
        <v>486727.00000000017</v>
      </c>
      <c r="E25" s="40">
        <f t="shared" si="2"/>
        <v>20398606.481700003</v>
      </c>
      <c r="F25" s="41">
        <f t="shared" si="1"/>
        <v>41.909749164726833</v>
      </c>
    </row>
    <row r="26" spans="1:6" ht="15" thickTop="1" x14ac:dyDescent="0.2"/>
  </sheetData>
  <mergeCells count="32">
    <mergeCell ref="E2:E3"/>
    <mergeCell ref="A1:U1"/>
    <mergeCell ref="V1:W1"/>
    <mergeCell ref="K2:Q2"/>
    <mergeCell ref="R2:W2"/>
    <mergeCell ref="F2:F3"/>
    <mergeCell ref="G2:G3"/>
    <mergeCell ref="H2:J2"/>
    <mergeCell ref="B23:C23"/>
    <mergeCell ref="A11:A12"/>
    <mergeCell ref="B11:C11"/>
    <mergeCell ref="A6:D6"/>
    <mergeCell ref="A2:A3"/>
    <mergeCell ref="B2:B3"/>
    <mergeCell ref="C2:D2"/>
    <mergeCell ref="A4:A5"/>
    <mergeCell ref="A25:C25"/>
    <mergeCell ref="B24:C24"/>
    <mergeCell ref="E11:E12"/>
    <mergeCell ref="F11:F12"/>
    <mergeCell ref="D11:D12"/>
    <mergeCell ref="A13:A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4" orientation="landscape" horizontalDpi="0" verticalDpi="0" r:id="rId1"/>
  <headerFooter>
    <oddFooter>&amp;LGombkötő Ervin János
energetikai szakreferens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62"/>
  <sheetViews>
    <sheetView topLeftCell="A37" workbookViewId="0">
      <selection activeCell="N49" sqref="N49:N60"/>
    </sheetView>
  </sheetViews>
  <sheetFormatPr defaultRowHeight="14.25" x14ac:dyDescent="0.2"/>
  <cols>
    <col min="1" max="1" width="15.28515625" style="25" customWidth="1"/>
    <col min="2" max="2" width="17.85546875" style="25" customWidth="1"/>
    <col min="3" max="3" width="11.7109375" style="25" customWidth="1"/>
    <col min="4" max="4" width="11.5703125" style="25" customWidth="1"/>
    <col min="5" max="5" width="11.7109375" style="25" customWidth="1"/>
    <col min="6" max="6" width="14.7109375" style="25" customWidth="1"/>
    <col min="7" max="7" width="15.7109375" style="25" customWidth="1"/>
    <col min="8" max="10" width="15.85546875" style="25" customWidth="1"/>
    <col min="11" max="11" width="15.7109375" style="25" customWidth="1"/>
    <col min="12" max="12" width="13.7109375" style="25" customWidth="1"/>
    <col min="13" max="14" width="13.5703125" style="25" customWidth="1"/>
    <col min="15" max="15" width="15.140625" style="25" customWidth="1"/>
    <col min="16" max="16" width="13.7109375" style="25" customWidth="1"/>
    <col min="17" max="17" width="13.28515625" style="25" customWidth="1"/>
    <col min="18" max="18" width="13.7109375" style="25" customWidth="1"/>
    <col min="19" max="16384" width="9.140625" style="25"/>
  </cols>
  <sheetData>
    <row r="1" spans="1:24" ht="40.5" customHeight="1" thickBot="1" x14ac:dyDescent="0.25">
      <c r="A1" s="356" t="s">
        <v>194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142" t="s">
        <v>193</v>
      </c>
      <c r="S1" s="101"/>
      <c r="T1" s="101"/>
      <c r="U1" s="101"/>
      <c r="V1" s="101"/>
      <c r="W1" s="101"/>
      <c r="X1" s="101"/>
    </row>
    <row r="2" spans="1:24" ht="33.75" customHeight="1" thickTop="1" thickBot="1" x14ac:dyDescent="0.25">
      <c r="A2" s="364" t="s">
        <v>249</v>
      </c>
      <c r="B2" s="364" t="s">
        <v>407</v>
      </c>
      <c r="C2" s="364" t="s">
        <v>259</v>
      </c>
      <c r="D2" s="357" t="s">
        <v>255</v>
      </c>
      <c r="E2" s="358"/>
      <c r="F2" s="359"/>
      <c r="G2" s="360" t="s">
        <v>242</v>
      </c>
      <c r="H2" s="360" t="s">
        <v>393</v>
      </c>
      <c r="I2" s="384" t="s">
        <v>243</v>
      </c>
      <c r="J2" s="384" t="s">
        <v>244</v>
      </c>
      <c r="K2" s="360" t="s">
        <v>248</v>
      </c>
      <c r="L2" s="360"/>
      <c r="M2" s="360"/>
      <c r="N2" s="360"/>
      <c r="O2" s="360" t="s">
        <v>251</v>
      </c>
      <c r="P2" s="360"/>
      <c r="Q2" s="360"/>
      <c r="R2" s="360"/>
    </row>
    <row r="3" spans="1:24" ht="31.5" thickTop="1" thickBot="1" x14ac:dyDescent="0.25">
      <c r="A3" s="365"/>
      <c r="B3" s="365"/>
      <c r="C3" s="365"/>
      <c r="D3" s="118" t="s">
        <v>256</v>
      </c>
      <c r="E3" s="118" t="s">
        <v>257</v>
      </c>
      <c r="F3" s="118" t="s">
        <v>258</v>
      </c>
      <c r="G3" s="360"/>
      <c r="H3" s="360"/>
      <c r="I3" s="385"/>
      <c r="J3" s="385"/>
      <c r="K3" s="119" t="s">
        <v>247</v>
      </c>
      <c r="L3" s="119" t="s">
        <v>394</v>
      </c>
      <c r="M3" s="119" t="s">
        <v>246</v>
      </c>
      <c r="N3" s="119" t="s">
        <v>192</v>
      </c>
      <c r="O3" s="119" t="s">
        <v>252</v>
      </c>
      <c r="P3" s="119" t="s">
        <v>395</v>
      </c>
      <c r="Q3" s="119" t="s">
        <v>253</v>
      </c>
      <c r="R3" s="119" t="s">
        <v>254</v>
      </c>
    </row>
    <row r="4" spans="1:24" ht="15" thickTop="1" x14ac:dyDescent="0.2">
      <c r="A4" s="368" t="s">
        <v>139</v>
      </c>
      <c r="B4" s="135" t="s">
        <v>201</v>
      </c>
      <c r="C4" s="135">
        <v>444</v>
      </c>
      <c r="D4" s="135">
        <v>2632.93</v>
      </c>
      <c r="E4" s="135">
        <v>2657.24</v>
      </c>
      <c r="F4" s="135">
        <f>+E4-D4</f>
        <v>24.309999999999945</v>
      </c>
      <c r="G4" s="135">
        <v>133.38999999999999</v>
      </c>
      <c r="H4" s="29">
        <v>18.25</v>
      </c>
      <c r="I4" s="29">
        <v>121.02</v>
      </c>
      <c r="J4" s="139">
        <f>+I4+H4</f>
        <v>139.26999999999998</v>
      </c>
      <c r="K4" s="32">
        <v>289789.92</v>
      </c>
      <c r="L4" s="32">
        <v>67890</v>
      </c>
      <c r="M4" s="32">
        <v>450194.4</v>
      </c>
      <c r="N4" s="146">
        <f>+M4+L4+K4</f>
        <v>807874.32000000007</v>
      </c>
      <c r="O4" s="31">
        <f>+K4/J4</f>
        <v>2080.7777697996698</v>
      </c>
      <c r="P4" s="31">
        <f>+L4/H4</f>
        <v>3720</v>
      </c>
      <c r="Q4" s="31">
        <f>+M4/I4</f>
        <v>3720.0000000000005</v>
      </c>
      <c r="R4" s="146">
        <f>+N4/J4</f>
        <v>5800.7777697996708</v>
      </c>
    </row>
    <row r="5" spans="1:24" x14ac:dyDescent="0.2">
      <c r="A5" s="369"/>
      <c r="B5" s="33" t="s">
        <v>202</v>
      </c>
      <c r="C5" s="33">
        <v>444</v>
      </c>
      <c r="D5" s="33">
        <v>2657.4</v>
      </c>
      <c r="E5" s="33">
        <v>2676.6</v>
      </c>
      <c r="F5" s="33">
        <f t="shared" ref="F5:F16" si="0">+E5-D5</f>
        <v>19.199999999999818</v>
      </c>
      <c r="G5" s="33">
        <v>124.4</v>
      </c>
      <c r="H5" s="33">
        <v>13.72</v>
      </c>
      <c r="I5" s="33">
        <v>112.72</v>
      </c>
      <c r="J5" s="140">
        <f t="shared" ref="J5:J15" si="1">+I5+H5</f>
        <v>126.44</v>
      </c>
      <c r="K5" s="36">
        <v>289789.92</v>
      </c>
      <c r="L5" s="36">
        <v>51038.400000000001</v>
      </c>
      <c r="M5" s="36">
        <v>419318.4</v>
      </c>
      <c r="N5" s="147">
        <f t="shared" ref="N5:N15" si="2">+M5+L5+K5</f>
        <v>760146.72</v>
      </c>
      <c r="O5" s="35">
        <f t="shared" ref="O5:O15" si="3">+K5/J5</f>
        <v>2291.9164821259096</v>
      </c>
      <c r="P5" s="35">
        <f t="shared" ref="P5:P16" si="4">+L5/H5</f>
        <v>3720</v>
      </c>
      <c r="Q5" s="35">
        <f t="shared" ref="Q5:Q16" si="5">+M5/I5</f>
        <v>3720.0000000000005</v>
      </c>
      <c r="R5" s="147">
        <f t="shared" ref="R5:R15" si="6">+N5/J5</f>
        <v>6011.9164821259092</v>
      </c>
    </row>
    <row r="6" spans="1:24" x14ac:dyDescent="0.2">
      <c r="A6" s="369"/>
      <c r="B6" s="33" t="s">
        <v>203</v>
      </c>
      <c r="C6" s="33">
        <v>444</v>
      </c>
      <c r="D6" s="33">
        <v>2676.6</v>
      </c>
      <c r="E6" s="33">
        <v>2695.42</v>
      </c>
      <c r="F6" s="33">
        <f t="shared" si="0"/>
        <v>18.820000000000164</v>
      </c>
      <c r="G6" s="33">
        <v>92.08</v>
      </c>
      <c r="H6" s="33">
        <v>14.64</v>
      </c>
      <c r="I6" s="33">
        <v>83.54</v>
      </c>
      <c r="J6" s="140">
        <f t="shared" si="1"/>
        <v>98.18</v>
      </c>
      <c r="K6" s="36">
        <v>289789.92</v>
      </c>
      <c r="L6" s="36">
        <v>54460.800000000003</v>
      </c>
      <c r="M6" s="36">
        <v>310768.8</v>
      </c>
      <c r="N6" s="147">
        <f t="shared" si="2"/>
        <v>655019.52000000002</v>
      </c>
      <c r="O6" s="35">
        <f t="shared" si="3"/>
        <v>2951.6186596048069</v>
      </c>
      <c r="P6" s="35">
        <f t="shared" si="4"/>
        <v>3720</v>
      </c>
      <c r="Q6" s="35">
        <f t="shared" si="5"/>
        <v>3719.9999999999995</v>
      </c>
      <c r="R6" s="147">
        <f t="shared" si="6"/>
        <v>6671.6186596048074</v>
      </c>
    </row>
    <row r="7" spans="1:24" x14ac:dyDescent="0.2">
      <c r="A7" s="369"/>
      <c r="B7" s="33" t="s">
        <v>204</v>
      </c>
      <c r="C7" s="33">
        <v>444</v>
      </c>
      <c r="D7" s="33">
        <v>2695.42</v>
      </c>
      <c r="E7" s="33">
        <v>2710.37</v>
      </c>
      <c r="F7" s="33">
        <f t="shared" si="0"/>
        <v>14.949999999999818</v>
      </c>
      <c r="G7" s="33">
        <v>49.25</v>
      </c>
      <c r="H7" s="33">
        <v>12.65</v>
      </c>
      <c r="I7" s="33">
        <v>44.68</v>
      </c>
      <c r="J7" s="140">
        <f t="shared" si="1"/>
        <v>57.33</v>
      </c>
      <c r="K7" s="36">
        <v>289789.92</v>
      </c>
      <c r="L7" s="36">
        <v>47058</v>
      </c>
      <c r="M7" s="36">
        <v>166209.60000000001</v>
      </c>
      <c r="N7" s="147">
        <f t="shared" si="2"/>
        <v>503057.52</v>
      </c>
      <c r="O7" s="35">
        <f t="shared" si="3"/>
        <v>5054.7692307692305</v>
      </c>
      <c r="P7" s="35">
        <f t="shared" si="4"/>
        <v>3720</v>
      </c>
      <c r="Q7" s="35">
        <f t="shared" si="5"/>
        <v>3720</v>
      </c>
      <c r="R7" s="147">
        <f t="shared" si="6"/>
        <v>8774.7692307692305</v>
      </c>
    </row>
    <row r="8" spans="1:24" x14ac:dyDescent="0.2">
      <c r="A8" s="369"/>
      <c r="B8" s="33" t="s">
        <v>205</v>
      </c>
      <c r="C8" s="33">
        <v>444</v>
      </c>
      <c r="D8" s="33">
        <v>2710.37</v>
      </c>
      <c r="E8" s="33">
        <v>2729.5</v>
      </c>
      <c r="F8" s="33">
        <f t="shared" si="0"/>
        <v>19.130000000000109</v>
      </c>
      <c r="G8" s="33">
        <v>4.47</v>
      </c>
      <c r="H8" s="33">
        <v>4.0599999999999996</v>
      </c>
      <c r="I8" s="33">
        <v>14.32</v>
      </c>
      <c r="J8" s="140">
        <f t="shared" si="1"/>
        <v>18.38</v>
      </c>
      <c r="K8" s="36">
        <v>289789.92</v>
      </c>
      <c r="L8" s="36">
        <v>15103.2</v>
      </c>
      <c r="M8" s="36">
        <v>53270.400000000001</v>
      </c>
      <c r="N8" s="147">
        <f t="shared" si="2"/>
        <v>358163.52</v>
      </c>
      <c r="O8" s="35">
        <f t="shared" ref="O8:O9" si="7">+K8/J8</f>
        <v>15766.589771490751</v>
      </c>
      <c r="P8" s="35">
        <f t="shared" ref="P8" si="8">+L8/H8</f>
        <v>3720.0000000000005</v>
      </c>
      <c r="Q8" s="35">
        <f t="shared" ref="Q8:Q12" si="9">+M8/I8</f>
        <v>3720</v>
      </c>
      <c r="R8" s="147">
        <f t="shared" ref="R8:R9" si="10">+N8/J8</f>
        <v>19486.589771490751</v>
      </c>
    </row>
    <row r="9" spans="1:24" x14ac:dyDescent="0.2">
      <c r="A9" s="369"/>
      <c r="B9" s="33" t="s">
        <v>206</v>
      </c>
      <c r="C9" s="33">
        <v>444</v>
      </c>
      <c r="D9" s="33">
        <v>2729.5</v>
      </c>
      <c r="E9" s="33">
        <v>2750.62</v>
      </c>
      <c r="F9" s="33">
        <f t="shared" si="0"/>
        <v>21.119999999999891</v>
      </c>
      <c r="G9" s="33">
        <v>0</v>
      </c>
      <c r="H9" s="33">
        <v>0</v>
      </c>
      <c r="I9" s="33">
        <v>16.52</v>
      </c>
      <c r="J9" s="140">
        <f t="shared" si="1"/>
        <v>16.52</v>
      </c>
      <c r="K9" s="36">
        <v>289789.92</v>
      </c>
      <c r="L9" s="36">
        <v>0</v>
      </c>
      <c r="M9" s="36">
        <v>61454.400000000001</v>
      </c>
      <c r="N9" s="147">
        <f t="shared" si="2"/>
        <v>351244.32</v>
      </c>
      <c r="O9" s="35">
        <f t="shared" si="7"/>
        <v>17541.762711864405</v>
      </c>
      <c r="P9" s="35">
        <v>0</v>
      </c>
      <c r="Q9" s="35">
        <f t="shared" si="9"/>
        <v>3720</v>
      </c>
      <c r="R9" s="147">
        <f t="shared" si="10"/>
        <v>21261.762711864409</v>
      </c>
    </row>
    <row r="10" spans="1:24" x14ac:dyDescent="0.2">
      <c r="A10" s="369"/>
      <c r="B10" s="33" t="s">
        <v>207</v>
      </c>
      <c r="C10" s="33">
        <v>444</v>
      </c>
      <c r="D10" s="33">
        <v>2750.62</v>
      </c>
      <c r="E10" s="33">
        <v>2750.62</v>
      </c>
      <c r="F10" s="33">
        <f t="shared" si="0"/>
        <v>0</v>
      </c>
      <c r="G10" s="33">
        <v>0</v>
      </c>
      <c r="H10" s="33">
        <v>0</v>
      </c>
      <c r="I10" s="33">
        <v>0</v>
      </c>
      <c r="J10" s="140">
        <f t="shared" si="1"/>
        <v>0</v>
      </c>
      <c r="K10" s="36">
        <v>289789.92</v>
      </c>
      <c r="L10" s="36">
        <v>0</v>
      </c>
      <c r="M10" s="36">
        <v>0</v>
      </c>
      <c r="N10" s="147">
        <f t="shared" si="2"/>
        <v>289789.92</v>
      </c>
      <c r="O10" s="35">
        <v>0</v>
      </c>
      <c r="P10" s="35">
        <v>0</v>
      </c>
      <c r="Q10" s="35">
        <v>0</v>
      </c>
      <c r="R10" s="147">
        <v>0</v>
      </c>
    </row>
    <row r="11" spans="1:24" x14ac:dyDescent="0.2">
      <c r="A11" s="369"/>
      <c r="B11" s="33" t="s">
        <v>208</v>
      </c>
      <c r="C11" s="33">
        <v>444</v>
      </c>
      <c r="D11" s="33">
        <v>2750.62</v>
      </c>
      <c r="E11" s="33">
        <v>2767.62</v>
      </c>
      <c r="F11" s="33">
        <f t="shared" si="0"/>
        <v>17</v>
      </c>
      <c r="G11" s="33">
        <v>0</v>
      </c>
      <c r="H11" s="33">
        <v>0</v>
      </c>
      <c r="I11" s="33">
        <v>12.3</v>
      </c>
      <c r="J11" s="140">
        <f t="shared" si="1"/>
        <v>12.3</v>
      </c>
      <c r="K11" s="36">
        <v>289789.92</v>
      </c>
      <c r="L11" s="36">
        <v>0</v>
      </c>
      <c r="M11" s="36">
        <f>2*22878</f>
        <v>45756</v>
      </c>
      <c r="N11" s="147">
        <f t="shared" si="2"/>
        <v>335545.92</v>
      </c>
      <c r="O11" s="35">
        <f t="shared" si="3"/>
        <v>23560.156097560972</v>
      </c>
      <c r="P11" s="35">
        <v>0</v>
      </c>
      <c r="Q11" s="35">
        <f t="shared" si="9"/>
        <v>3720</v>
      </c>
      <c r="R11" s="147">
        <f t="shared" si="6"/>
        <v>27280.156097560972</v>
      </c>
    </row>
    <row r="12" spans="1:24" x14ac:dyDescent="0.2">
      <c r="A12" s="369"/>
      <c r="B12" s="33" t="s">
        <v>209</v>
      </c>
      <c r="C12" s="33">
        <v>444</v>
      </c>
      <c r="D12" s="33">
        <v>2767.62</v>
      </c>
      <c r="E12" s="33">
        <v>2793.9</v>
      </c>
      <c r="F12" s="33">
        <f t="shared" si="0"/>
        <v>26.2800000000002</v>
      </c>
      <c r="G12" s="33">
        <v>0</v>
      </c>
      <c r="H12" s="33">
        <v>0</v>
      </c>
      <c r="I12" s="33">
        <v>19.170000000000002</v>
      </c>
      <c r="J12" s="140">
        <f t="shared" si="1"/>
        <v>19.170000000000002</v>
      </c>
      <c r="K12" s="36">
        <v>289789.92</v>
      </c>
      <c r="L12" s="36">
        <v>0</v>
      </c>
      <c r="M12" s="36">
        <v>71312.399999999994</v>
      </c>
      <c r="N12" s="147">
        <f t="shared" si="2"/>
        <v>361102.31999999995</v>
      </c>
      <c r="O12" s="35">
        <f t="shared" si="3"/>
        <v>15116.845070422532</v>
      </c>
      <c r="P12" s="35">
        <v>0</v>
      </c>
      <c r="Q12" s="35">
        <f t="shared" si="9"/>
        <v>3719.9999999999995</v>
      </c>
      <c r="R12" s="147">
        <f t="shared" si="6"/>
        <v>18836.845070422532</v>
      </c>
    </row>
    <row r="13" spans="1:24" x14ac:dyDescent="0.2">
      <c r="A13" s="369"/>
      <c r="B13" s="33" t="s">
        <v>210</v>
      </c>
      <c r="C13" s="33">
        <v>444</v>
      </c>
      <c r="D13" s="33">
        <v>2793.9</v>
      </c>
      <c r="E13" s="33">
        <v>2815.69</v>
      </c>
      <c r="F13" s="33">
        <f t="shared" si="0"/>
        <v>21.789999999999964</v>
      </c>
      <c r="G13" s="33">
        <v>87.11</v>
      </c>
      <c r="H13" s="33">
        <v>15.52</v>
      </c>
      <c r="I13" s="33">
        <v>79.03</v>
      </c>
      <c r="J13" s="140">
        <f t="shared" si="1"/>
        <v>94.55</v>
      </c>
      <c r="K13" s="36">
        <v>289789.92</v>
      </c>
      <c r="L13" s="36">
        <v>57734.400000000001</v>
      </c>
      <c r="M13" s="36">
        <v>293991.59999999998</v>
      </c>
      <c r="N13" s="147">
        <f t="shared" si="2"/>
        <v>641515.91999999993</v>
      </c>
      <c r="O13" s="35">
        <f t="shared" si="3"/>
        <v>3064.9383395029085</v>
      </c>
      <c r="P13" s="35">
        <f t="shared" si="4"/>
        <v>3720</v>
      </c>
      <c r="Q13" s="35">
        <f t="shared" si="5"/>
        <v>3719.9999999999995</v>
      </c>
      <c r="R13" s="147">
        <f t="shared" si="6"/>
        <v>6784.9383395029081</v>
      </c>
    </row>
    <row r="14" spans="1:24" x14ac:dyDescent="0.2">
      <c r="A14" s="369"/>
      <c r="B14" s="33" t="s">
        <v>211</v>
      </c>
      <c r="C14" s="33">
        <v>444</v>
      </c>
      <c r="D14" s="33">
        <v>2815.69</v>
      </c>
      <c r="E14" s="33">
        <v>2845.95</v>
      </c>
      <c r="F14" s="33">
        <f t="shared" si="0"/>
        <v>30.259999999999764</v>
      </c>
      <c r="G14" s="33">
        <v>106.04</v>
      </c>
      <c r="H14" s="33">
        <v>23.15</v>
      </c>
      <c r="I14" s="33">
        <v>96.2</v>
      </c>
      <c r="J14" s="140">
        <f t="shared" si="1"/>
        <v>119.35</v>
      </c>
      <c r="K14" s="36">
        <v>289789.92</v>
      </c>
      <c r="L14" s="36">
        <v>86118</v>
      </c>
      <c r="M14" s="36">
        <v>357864</v>
      </c>
      <c r="N14" s="147">
        <f t="shared" si="2"/>
        <v>733771.91999999993</v>
      </c>
      <c r="O14" s="35">
        <f t="shared" si="3"/>
        <v>2428.0680351906158</v>
      </c>
      <c r="P14" s="35">
        <f t="shared" si="4"/>
        <v>3720.0000000000005</v>
      </c>
      <c r="Q14" s="35">
        <f t="shared" si="5"/>
        <v>3720</v>
      </c>
      <c r="R14" s="147">
        <f t="shared" si="6"/>
        <v>6148.0680351906158</v>
      </c>
    </row>
    <row r="15" spans="1:24" ht="15" thickBot="1" x14ac:dyDescent="0.25">
      <c r="A15" s="383"/>
      <c r="B15" s="136" t="s">
        <v>212</v>
      </c>
      <c r="C15" s="33">
        <v>444</v>
      </c>
      <c r="D15" s="137">
        <v>2845.95</v>
      </c>
      <c r="E15" s="137">
        <v>2874.94</v>
      </c>
      <c r="F15" s="137">
        <f t="shared" si="0"/>
        <v>28.990000000000236</v>
      </c>
      <c r="G15" s="137">
        <v>153.61000000000001</v>
      </c>
      <c r="H15" s="37">
        <v>22.72</v>
      </c>
      <c r="I15" s="37">
        <v>139.36000000000001</v>
      </c>
      <c r="J15" s="140">
        <f t="shared" si="1"/>
        <v>162.08000000000001</v>
      </c>
      <c r="K15" s="36">
        <v>289789.92</v>
      </c>
      <c r="L15" s="39">
        <v>84518.399999999994</v>
      </c>
      <c r="M15" s="39">
        <v>518419.20000000001</v>
      </c>
      <c r="N15" s="148">
        <f t="shared" si="2"/>
        <v>892727.52</v>
      </c>
      <c r="O15" s="38">
        <f t="shared" si="3"/>
        <v>1787.9437314906218</v>
      </c>
      <c r="P15" s="38">
        <f t="shared" si="4"/>
        <v>3720</v>
      </c>
      <c r="Q15" s="38">
        <f t="shared" si="5"/>
        <v>3719.9999999999995</v>
      </c>
      <c r="R15" s="148">
        <f t="shared" si="6"/>
        <v>5507.9437314906218</v>
      </c>
    </row>
    <row r="16" spans="1:24" ht="24.75" customHeight="1" thickTop="1" thickBot="1" x14ac:dyDescent="0.25">
      <c r="A16" s="361" t="s">
        <v>6</v>
      </c>
      <c r="B16" s="362"/>
      <c r="C16" s="134"/>
      <c r="D16" s="134"/>
      <c r="E16" s="134"/>
      <c r="F16" s="134">
        <f t="shared" si="0"/>
        <v>0</v>
      </c>
      <c r="G16" s="134">
        <f t="shared" ref="G16:N16" si="11">SUM(G4:G15)</f>
        <v>750.35</v>
      </c>
      <c r="H16" s="134">
        <f t="shared" si="11"/>
        <v>124.71000000000001</v>
      </c>
      <c r="I16" s="134">
        <f t="shared" si="11"/>
        <v>738.86000000000013</v>
      </c>
      <c r="J16" s="134">
        <f t="shared" si="11"/>
        <v>863.57</v>
      </c>
      <c r="K16" s="41">
        <f t="shared" si="11"/>
        <v>3477479.0399999996</v>
      </c>
      <c r="L16" s="41">
        <f t="shared" si="11"/>
        <v>463921.20000000007</v>
      </c>
      <c r="M16" s="41">
        <f t="shared" si="11"/>
        <v>2748559.2</v>
      </c>
      <c r="N16" s="40">
        <f t="shared" si="11"/>
        <v>6689959.4399999995</v>
      </c>
      <c r="O16" s="40">
        <f>+K16/J16</f>
        <v>4026.8641106106043</v>
      </c>
      <c r="P16" s="40">
        <f t="shared" si="4"/>
        <v>3720.0000000000005</v>
      </c>
      <c r="Q16" s="40">
        <f t="shared" si="5"/>
        <v>3719.9999999999995</v>
      </c>
      <c r="R16" s="40">
        <f>+N16/J16</f>
        <v>7746.8641106106033</v>
      </c>
    </row>
    <row r="17" spans="1:18" ht="15.75" thickTop="1" x14ac:dyDescent="0.25">
      <c r="A17" s="47" t="s">
        <v>261</v>
      </c>
      <c r="B17" s="62" t="s">
        <v>262</v>
      </c>
      <c r="F17" s="381" t="s">
        <v>263</v>
      </c>
      <c r="G17" s="381"/>
      <c r="H17" s="25">
        <v>60757699</v>
      </c>
      <c r="J17" s="381" t="s">
        <v>138</v>
      </c>
      <c r="K17" s="381"/>
      <c r="L17" s="381"/>
      <c r="M17" s="381"/>
      <c r="O17" s="381" t="s">
        <v>264</v>
      </c>
      <c r="P17" s="381"/>
      <c r="Q17" s="25">
        <v>40000018</v>
      </c>
    </row>
    <row r="18" spans="1:18" ht="15" x14ac:dyDescent="0.25">
      <c r="A18" s="47"/>
      <c r="B18" s="62"/>
      <c r="F18" s="90"/>
      <c r="G18" s="90"/>
      <c r="J18" s="90"/>
      <c r="K18" s="90"/>
      <c r="L18" s="90"/>
      <c r="M18" s="90"/>
      <c r="O18" s="90"/>
      <c r="P18" s="90"/>
    </row>
    <row r="19" spans="1:18" ht="15" thickBot="1" x14ac:dyDescent="0.25"/>
    <row r="20" spans="1:18" ht="31.5" customHeight="1" thickTop="1" thickBot="1" x14ac:dyDescent="0.25">
      <c r="A20" s="364" t="s">
        <v>249</v>
      </c>
      <c r="B20" s="364" t="s">
        <v>407</v>
      </c>
      <c r="C20" s="364" t="s">
        <v>259</v>
      </c>
      <c r="D20" s="357" t="s">
        <v>255</v>
      </c>
      <c r="E20" s="358"/>
      <c r="F20" s="359"/>
      <c r="G20" s="360" t="s">
        <v>242</v>
      </c>
      <c r="H20" s="360" t="s">
        <v>241</v>
      </c>
      <c r="I20" s="384" t="s">
        <v>243</v>
      </c>
      <c r="J20" s="384" t="s">
        <v>244</v>
      </c>
      <c r="K20" s="360" t="s">
        <v>248</v>
      </c>
      <c r="L20" s="360"/>
      <c r="M20" s="360"/>
      <c r="N20" s="360"/>
      <c r="O20" s="360" t="s">
        <v>251</v>
      </c>
      <c r="P20" s="360"/>
      <c r="Q20" s="360"/>
      <c r="R20" s="360"/>
    </row>
    <row r="21" spans="1:18" ht="31.5" thickTop="1" thickBot="1" x14ac:dyDescent="0.25">
      <c r="A21" s="365"/>
      <c r="B21" s="365"/>
      <c r="C21" s="365"/>
      <c r="D21" s="118" t="s">
        <v>256</v>
      </c>
      <c r="E21" s="118" t="s">
        <v>257</v>
      </c>
      <c r="F21" s="118" t="s">
        <v>258</v>
      </c>
      <c r="G21" s="360"/>
      <c r="H21" s="360"/>
      <c r="I21" s="385"/>
      <c r="J21" s="385"/>
      <c r="K21" s="119" t="s">
        <v>247</v>
      </c>
      <c r="L21" s="119" t="s">
        <v>245</v>
      </c>
      <c r="M21" s="119" t="s">
        <v>246</v>
      </c>
      <c r="N21" s="119" t="s">
        <v>192</v>
      </c>
      <c r="O21" s="119" t="s">
        <v>252</v>
      </c>
      <c r="P21" s="119" t="s">
        <v>250</v>
      </c>
      <c r="Q21" s="119" t="s">
        <v>253</v>
      </c>
      <c r="R21" s="119" t="s">
        <v>254</v>
      </c>
    </row>
    <row r="22" spans="1:18" ht="15" thickTop="1" x14ac:dyDescent="0.2">
      <c r="A22" s="368" t="s">
        <v>260</v>
      </c>
      <c r="B22" s="135" t="s">
        <v>201</v>
      </c>
      <c r="C22" s="135">
        <v>80</v>
      </c>
      <c r="D22" s="135">
        <v>3536.64</v>
      </c>
      <c r="E22" s="135">
        <v>3647.23</v>
      </c>
      <c r="F22" s="135">
        <f>+E22-D22</f>
        <v>110.59000000000015</v>
      </c>
      <c r="G22" s="135">
        <v>0</v>
      </c>
      <c r="H22" s="29">
        <v>110.59</v>
      </c>
      <c r="I22" s="29">
        <v>0</v>
      </c>
      <c r="J22" s="139">
        <f>+I22+H22</f>
        <v>110.59</v>
      </c>
      <c r="K22" s="32">
        <v>52214.400000000001</v>
      </c>
      <c r="L22" s="32">
        <v>411394.8</v>
      </c>
      <c r="M22" s="32">
        <v>0</v>
      </c>
      <c r="N22" s="146">
        <f>+M22+L22+K22</f>
        <v>463609.2</v>
      </c>
      <c r="O22" s="31">
        <f>+K22/J22</f>
        <v>472.14395514965184</v>
      </c>
      <c r="P22" s="31">
        <f>+L22/H22</f>
        <v>3720</v>
      </c>
      <c r="Q22" s="31">
        <v>0</v>
      </c>
      <c r="R22" s="143">
        <f>+N22/J22</f>
        <v>4192.1439551496514</v>
      </c>
    </row>
    <row r="23" spans="1:18" x14ac:dyDescent="0.2">
      <c r="A23" s="369"/>
      <c r="B23" s="33" t="s">
        <v>202</v>
      </c>
      <c r="C23" s="33">
        <v>80</v>
      </c>
      <c r="D23" s="33">
        <v>3647.23</v>
      </c>
      <c r="E23" s="33">
        <v>3731.22</v>
      </c>
      <c r="F23" s="33">
        <f t="shared" ref="F23:F34" si="12">+E23-D23</f>
        <v>83.989999999999782</v>
      </c>
      <c r="G23" s="33">
        <v>0</v>
      </c>
      <c r="H23" s="33">
        <v>83.99</v>
      </c>
      <c r="I23" s="33">
        <v>0</v>
      </c>
      <c r="J23" s="140">
        <f t="shared" ref="J23:J33" si="13">+I23+H23</f>
        <v>83.99</v>
      </c>
      <c r="K23" s="36">
        <v>52214.400000000001</v>
      </c>
      <c r="L23" s="36">
        <v>312442.8</v>
      </c>
      <c r="M23" s="36">
        <v>0</v>
      </c>
      <c r="N23" s="147">
        <f t="shared" ref="N23:N33" si="14">+M23+L23+K23</f>
        <v>364657.2</v>
      </c>
      <c r="O23" s="35">
        <f t="shared" ref="O23:O28" si="15">+K23/J23</f>
        <v>621.67400881057279</v>
      </c>
      <c r="P23" s="35">
        <f t="shared" ref="P23:P28" si="16">+L23/H23</f>
        <v>3720</v>
      </c>
      <c r="Q23" s="35">
        <v>0</v>
      </c>
      <c r="R23" s="144">
        <f t="shared" ref="R23:R34" si="17">+N23/J23</f>
        <v>4341.6740088105735</v>
      </c>
    </row>
    <row r="24" spans="1:18" x14ac:dyDescent="0.2">
      <c r="A24" s="369"/>
      <c r="B24" s="33" t="s">
        <v>203</v>
      </c>
      <c r="C24" s="33">
        <v>80</v>
      </c>
      <c r="D24" s="33">
        <v>3731.22</v>
      </c>
      <c r="E24" s="33">
        <v>3795.5880000000002</v>
      </c>
      <c r="F24" s="33">
        <f t="shared" si="12"/>
        <v>64.368000000000393</v>
      </c>
      <c r="G24" s="33">
        <v>0</v>
      </c>
      <c r="H24" s="33">
        <v>64.37</v>
      </c>
      <c r="I24" s="33">
        <v>0</v>
      </c>
      <c r="J24" s="140">
        <f t="shared" si="13"/>
        <v>64.37</v>
      </c>
      <c r="K24" s="36">
        <v>52214.400000000001</v>
      </c>
      <c r="L24" s="36">
        <v>239456.4</v>
      </c>
      <c r="M24" s="36">
        <v>0</v>
      </c>
      <c r="N24" s="147">
        <f t="shared" si="14"/>
        <v>291670.8</v>
      </c>
      <c r="O24" s="35">
        <f t="shared" si="15"/>
        <v>811.1604784837657</v>
      </c>
      <c r="P24" s="35">
        <f t="shared" si="16"/>
        <v>3719.9999999999995</v>
      </c>
      <c r="Q24" s="35">
        <v>0</v>
      </c>
      <c r="R24" s="144">
        <f t="shared" si="17"/>
        <v>4531.1604784837655</v>
      </c>
    </row>
    <row r="25" spans="1:18" x14ac:dyDescent="0.2">
      <c r="A25" s="369"/>
      <c r="B25" s="33" t="s">
        <v>204</v>
      </c>
      <c r="C25" s="33">
        <v>80</v>
      </c>
      <c r="D25" s="33">
        <v>3795.5880000000002</v>
      </c>
      <c r="E25" s="33">
        <v>3831.84</v>
      </c>
      <c r="F25" s="33">
        <f t="shared" si="12"/>
        <v>36.251999999999953</v>
      </c>
      <c r="G25" s="33">
        <v>0</v>
      </c>
      <c r="H25" s="33">
        <v>36.25</v>
      </c>
      <c r="I25" s="33">
        <v>0</v>
      </c>
      <c r="J25" s="140">
        <f t="shared" si="13"/>
        <v>36.25</v>
      </c>
      <c r="K25" s="36">
        <v>52214.400000000001</v>
      </c>
      <c r="L25" s="36">
        <v>134850</v>
      </c>
      <c r="M25" s="36">
        <v>0</v>
      </c>
      <c r="N25" s="147">
        <f t="shared" si="14"/>
        <v>187064.4</v>
      </c>
      <c r="O25" s="35">
        <f t="shared" si="15"/>
        <v>1440.3972413793103</v>
      </c>
      <c r="P25" s="35">
        <f t="shared" si="16"/>
        <v>3720</v>
      </c>
      <c r="Q25" s="35">
        <v>0</v>
      </c>
      <c r="R25" s="144">
        <f t="shared" si="17"/>
        <v>5160.3972413793099</v>
      </c>
    </row>
    <row r="26" spans="1:18" x14ac:dyDescent="0.2">
      <c r="A26" s="369"/>
      <c r="B26" s="33" t="s">
        <v>205</v>
      </c>
      <c r="C26" s="33">
        <v>80</v>
      </c>
      <c r="D26" s="33">
        <v>3831.84</v>
      </c>
      <c r="E26" s="33">
        <v>3851.172</v>
      </c>
      <c r="F26" s="33">
        <f t="shared" si="12"/>
        <v>19.33199999999988</v>
      </c>
      <c r="G26" s="33">
        <v>0</v>
      </c>
      <c r="H26" s="33">
        <v>19.329999999999998</v>
      </c>
      <c r="I26" s="33">
        <v>0</v>
      </c>
      <c r="J26" s="140">
        <f t="shared" si="13"/>
        <v>19.329999999999998</v>
      </c>
      <c r="K26" s="36">
        <v>52214.400000000001</v>
      </c>
      <c r="L26" s="36">
        <v>71907.600000000006</v>
      </c>
      <c r="M26" s="36">
        <v>0</v>
      </c>
      <c r="N26" s="147">
        <f t="shared" si="14"/>
        <v>124122</v>
      </c>
      <c r="O26" s="35">
        <f t="shared" si="15"/>
        <v>2701.2105535437149</v>
      </c>
      <c r="P26" s="35">
        <f t="shared" si="16"/>
        <v>3720.0000000000005</v>
      </c>
      <c r="Q26" s="35">
        <v>0</v>
      </c>
      <c r="R26" s="144">
        <f t="shared" si="17"/>
        <v>6421.2105535437149</v>
      </c>
    </row>
    <row r="27" spans="1:18" x14ac:dyDescent="0.2">
      <c r="A27" s="369"/>
      <c r="B27" s="33" t="s">
        <v>206</v>
      </c>
      <c r="C27" s="33">
        <v>80</v>
      </c>
      <c r="D27" s="33">
        <v>3851.172</v>
      </c>
      <c r="E27" s="33">
        <v>3859.308</v>
      </c>
      <c r="F27" s="33">
        <f t="shared" si="12"/>
        <v>8.1359999999999673</v>
      </c>
      <c r="G27" s="33">
        <v>0</v>
      </c>
      <c r="H27" s="33">
        <v>8.14</v>
      </c>
      <c r="I27" s="33">
        <v>0</v>
      </c>
      <c r="J27" s="140">
        <f t="shared" si="13"/>
        <v>8.14</v>
      </c>
      <c r="K27" s="36">
        <v>52214.400000000001</v>
      </c>
      <c r="L27" s="36">
        <v>30280.799999999999</v>
      </c>
      <c r="M27" s="36">
        <v>0</v>
      </c>
      <c r="N27" s="147">
        <f t="shared" si="14"/>
        <v>82495.199999999997</v>
      </c>
      <c r="O27" s="35">
        <f t="shared" si="15"/>
        <v>6414.545454545454</v>
      </c>
      <c r="P27" s="35">
        <f t="shared" si="16"/>
        <v>3719.9999999999995</v>
      </c>
      <c r="Q27" s="35">
        <v>0</v>
      </c>
      <c r="R27" s="144">
        <f t="shared" si="17"/>
        <v>10134.545454545454</v>
      </c>
    </row>
    <row r="28" spans="1:18" x14ac:dyDescent="0.2">
      <c r="A28" s="369"/>
      <c r="B28" s="33" t="s">
        <v>207</v>
      </c>
      <c r="C28" s="33">
        <v>80</v>
      </c>
      <c r="D28" s="344">
        <v>3862.3319999999999</v>
      </c>
      <c r="E28" s="344">
        <v>6036.3</v>
      </c>
      <c r="F28" s="105" t="s">
        <v>28</v>
      </c>
      <c r="G28" s="33">
        <v>0</v>
      </c>
      <c r="H28" s="33">
        <f>3.02+15.7</f>
        <v>18.72</v>
      </c>
      <c r="I28" s="33">
        <v>0</v>
      </c>
      <c r="J28" s="140">
        <f t="shared" si="13"/>
        <v>18.72</v>
      </c>
      <c r="K28" s="36">
        <v>52214.400000000001</v>
      </c>
      <c r="L28" s="36">
        <f>11234+58404</f>
        <v>69638</v>
      </c>
      <c r="M28" s="36">
        <v>0</v>
      </c>
      <c r="N28" s="147">
        <f t="shared" si="14"/>
        <v>121852.4</v>
      </c>
      <c r="O28" s="35">
        <f t="shared" si="15"/>
        <v>2789.2307692307695</v>
      </c>
      <c r="P28" s="35">
        <f t="shared" si="16"/>
        <v>3719.9786324786328</v>
      </c>
      <c r="Q28" s="35">
        <v>0</v>
      </c>
      <c r="R28" s="144">
        <f t="shared" si="17"/>
        <v>6509.2094017094014</v>
      </c>
    </row>
    <row r="29" spans="1:18" x14ac:dyDescent="0.2">
      <c r="A29" s="369"/>
      <c r="B29" s="33" t="s">
        <v>208</v>
      </c>
      <c r="C29" s="33">
        <v>80</v>
      </c>
      <c r="D29" s="344">
        <v>3865.212</v>
      </c>
      <c r="E29" s="344">
        <v>6059.7</v>
      </c>
      <c r="F29" s="105" t="s">
        <v>28</v>
      </c>
      <c r="G29" s="33">
        <v>0</v>
      </c>
      <c r="H29" s="33">
        <f>2.88+23.4</f>
        <v>26.279999999999998</v>
      </c>
      <c r="I29" s="33">
        <v>0</v>
      </c>
      <c r="J29" s="140">
        <f t="shared" si="13"/>
        <v>26.279999999999998</v>
      </c>
      <c r="K29" s="36">
        <v>52214.400000000001</v>
      </c>
      <c r="L29" s="36">
        <f>10713.6+87048</f>
        <v>97761.600000000006</v>
      </c>
      <c r="M29" s="36">
        <v>0</v>
      </c>
      <c r="N29" s="147">
        <f t="shared" si="14"/>
        <v>149976</v>
      </c>
      <c r="O29" s="35">
        <f t="shared" ref="O29" si="18">+K29/J29</f>
        <v>1986.8493150684933</v>
      </c>
      <c r="P29" s="35">
        <f t="shared" ref="P29" si="19">+L29/H29</f>
        <v>3720.0000000000005</v>
      </c>
      <c r="Q29" s="35">
        <v>0</v>
      </c>
      <c r="R29" s="144">
        <f t="shared" si="17"/>
        <v>5706.8493150684935</v>
      </c>
    </row>
    <row r="30" spans="1:18" x14ac:dyDescent="0.2">
      <c r="A30" s="369"/>
      <c r="B30" s="33" t="s">
        <v>209</v>
      </c>
      <c r="C30" s="33">
        <v>80</v>
      </c>
      <c r="D30" s="33">
        <v>3865.212</v>
      </c>
      <c r="E30" s="33">
        <v>3872.8440000000001</v>
      </c>
      <c r="F30" s="33">
        <f t="shared" si="12"/>
        <v>7.6320000000000618</v>
      </c>
      <c r="G30" s="33">
        <v>0</v>
      </c>
      <c r="H30" s="33">
        <v>7.63</v>
      </c>
      <c r="I30" s="33">
        <v>0</v>
      </c>
      <c r="J30" s="140">
        <f t="shared" si="13"/>
        <v>7.63</v>
      </c>
      <c r="K30" s="36">
        <v>52214.400000000001</v>
      </c>
      <c r="L30" s="36">
        <v>28383.599999999999</v>
      </c>
      <c r="M30" s="36">
        <v>0</v>
      </c>
      <c r="N30" s="147">
        <f t="shared" si="14"/>
        <v>80598</v>
      </c>
      <c r="O30" s="35">
        <f t="shared" ref="O30:O34" si="20">+K30/J30</f>
        <v>6843.3027522935781</v>
      </c>
      <c r="P30" s="35">
        <f t="shared" ref="P30:P34" si="21">+L30/H30</f>
        <v>3720</v>
      </c>
      <c r="Q30" s="35">
        <v>0</v>
      </c>
      <c r="R30" s="144">
        <f t="shared" si="17"/>
        <v>10563.302752293579</v>
      </c>
    </row>
    <row r="31" spans="1:18" x14ac:dyDescent="0.2">
      <c r="A31" s="369"/>
      <c r="B31" s="33" t="s">
        <v>210</v>
      </c>
      <c r="C31" s="33">
        <v>80</v>
      </c>
      <c r="D31" s="33">
        <v>3872.8440000000001</v>
      </c>
      <c r="E31" s="33">
        <v>3896.1</v>
      </c>
      <c r="F31" s="33">
        <f t="shared" si="12"/>
        <v>23.255999999999858</v>
      </c>
      <c r="G31" s="33">
        <v>0</v>
      </c>
      <c r="H31" s="33">
        <v>23.26</v>
      </c>
      <c r="I31" s="33">
        <v>0</v>
      </c>
      <c r="J31" s="140">
        <f t="shared" si="13"/>
        <v>23.26</v>
      </c>
      <c r="K31" s="36">
        <v>52214.400000000001</v>
      </c>
      <c r="L31" s="36">
        <v>86527.2</v>
      </c>
      <c r="M31" s="36">
        <v>0</v>
      </c>
      <c r="N31" s="147">
        <f t="shared" si="14"/>
        <v>138741.6</v>
      </c>
      <c r="O31" s="35">
        <f t="shared" si="20"/>
        <v>2244.8151332760103</v>
      </c>
      <c r="P31" s="35">
        <f t="shared" si="21"/>
        <v>3719.9999999999995</v>
      </c>
      <c r="Q31" s="35">
        <v>0</v>
      </c>
      <c r="R31" s="144">
        <f t="shared" si="17"/>
        <v>5964.8151332760099</v>
      </c>
    </row>
    <row r="32" spans="1:18" x14ac:dyDescent="0.2">
      <c r="A32" s="369"/>
      <c r="B32" s="33" t="s">
        <v>211</v>
      </c>
      <c r="C32" s="33">
        <v>80</v>
      </c>
      <c r="D32" s="33">
        <v>3896.1</v>
      </c>
      <c r="E32" s="33">
        <v>3964.68</v>
      </c>
      <c r="F32" s="33">
        <f t="shared" si="12"/>
        <v>68.579999999999927</v>
      </c>
      <c r="G32" s="33">
        <v>0</v>
      </c>
      <c r="H32" s="33">
        <v>68.58</v>
      </c>
      <c r="I32" s="33">
        <v>0</v>
      </c>
      <c r="J32" s="140">
        <f t="shared" si="13"/>
        <v>68.58</v>
      </c>
      <c r="K32" s="36">
        <v>52214.400000000001</v>
      </c>
      <c r="L32" s="36">
        <v>255117.6</v>
      </c>
      <c r="M32" s="36">
        <v>0</v>
      </c>
      <c r="N32" s="147">
        <f t="shared" si="14"/>
        <v>307332</v>
      </c>
      <c r="O32" s="35">
        <f t="shared" si="20"/>
        <v>761.36482939632549</v>
      </c>
      <c r="P32" s="35">
        <f t="shared" si="21"/>
        <v>3720</v>
      </c>
      <c r="Q32" s="35">
        <v>0</v>
      </c>
      <c r="R32" s="144">
        <f t="shared" si="17"/>
        <v>4481.3648293963251</v>
      </c>
    </row>
    <row r="33" spans="1:18" ht="15" thickBot="1" x14ac:dyDescent="0.25">
      <c r="A33" s="383"/>
      <c r="B33" s="136" t="s">
        <v>212</v>
      </c>
      <c r="C33" s="137">
        <v>80</v>
      </c>
      <c r="D33" s="137">
        <v>3964.68</v>
      </c>
      <c r="E33" s="137">
        <v>4053.1680000000001</v>
      </c>
      <c r="F33" s="137">
        <f t="shared" si="12"/>
        <v>88.488000000000284</v>
      </c>
      <c r="G33" s="137">
        <v>0</v>
      </c>
      <c r="H33" s="37">
        <v>88.49</v>
      </c>
      <c r="I33" s="37">
        <v>0</v>
      </c>
      <c r="J33" s="141">
        <f t="shared" si="13"/>
        <v>88.49</v>
      </c>
      <c r="K33" s="36">
        <v>52214.400000000001</v>
      </c>
      <c r="L33" s="39">
        <v>329182.8</v>
      </c>
      <c r="M33" s="39">
        <v>0</v>
      </c>
      <c r="N33" s="148">
        <f t="shared" si="14"/>
        <v>381397.2</v>
      </c>
      <c r="O33" s="38">
        <f t="shared" si="20"/>
        <v>590.05989377330775</v>
      </c>
      <c r="P33" s="38">
        <f t="shared" si="21"/>
        <v>3720</v>
      </c>
      <c r="Q33" s="38">
        <v>0</v>
      </c>
      <c r="R33" s="145">
        <f t="shared" si="17"/>
        <v>4310.0598937733084</v>
      </c>
    </row>
    <row r="34" spans="1:18" ht="16.5" thickTop="1" thickBot="1" x14ac:dyDescent="0.25">
      <c r="A34" s="361" t="s">
        <v>6</v>
      </c>
      <c r="B34" s="362"/>
      <c r="C34" s="134"/>
      <c r="D34" s="134"/>
      <c r="E34" s="134"/>
      <c r="F34" s="134">
        <f t="shared" si="12"/>
        <v>0</v>
      </c>
      <c r="G34" s="134">
        <f t="shared" ref="G34:N34" si="22">SUM(G22:G33)</f>
        <v>0</v>
      </c>
      <c r="H34" s="134">
        <f t="shared" si="22"/>
        <v>555.62999999999988</v>
      </c>
      <c r="I34" s="134">
        <f t="shared" si="22"/>
        <v>0</v>
      </c>
      <c r="J34" s="134">
        <f t="shared" si="22"/>
        <v>555.62999999999988</v>
      </c>
      <c r="K34" s="41">
        <f t="shared" si="22"/>
        <v>626572.80000000016</v>
      </c>
      <c r="L34" s="41">
        <f t="shared" si="22"/>
        <v>2066943.2000000004</v>
      </c>
      <c r="M34" s="41">
        <f t="shared" si="22"/>
        <v>0</v>
      </c>
      <c r="N34" s="40">
        <f t="shared" si="22"/>
        <v>2693516</v>
      </c>
      <c r="O34" s="40">
        <f t="shared" si="20"/>
        <v>1127.6799308892614</v>
      </c>
      <c r="P34" s="40">
        <f t="shared" si="21"/>
        <v>3719.9992800964687</v>
      </c>
      <c r="Q34" s="40">
        <v>0</v>
      </c>
      <c r="R34" s="40">
        <f t="shared" si="17"/>
        <v>4847.6792109857288</v>
      </c>
    </row>
    <row r="35" spans="1:18" ht="15.75" thickTop="1" x14ac:dyDescent="0.25">
      <c r="A35" s="47" t="s">
        <v>261</v>
      </c>
      <c r="B35" s="62" t="s">
        <v>262</v>
      </c>
      <c r="D35" s="345" t="s">
        <v>427</v>
      </c>
      <c r="F35" s="381" t="s">
        <v>263</v>
      </c>
      <c r="G35" s="381"/>
      <c r="H35" s="25">
        <v>24286133</v>
      </c>
      <c r="J35" s="381" t="s">
        <v>138</v>
      </c>
      <c r="K35" s="381"/>
      <c r="L35" s="381"/>
      <c r="M35" s="381"/>
      <c r="O35" s="381" t="s">
        <v>264</v>
      </c>
      <c r="P35" s="381"/>
      <c r="Q35" s="25">
        <v>40000007</v>
      </c>
    </row>
    <row r="37" spans="1:18" ht="15" thickBot="1" x14ac:dyDescent="0.25"/>
    <row r="38" spans="1:18" ht="33" customHeight="1" thickTop="1" thickBot="1" x14ac:dyDescent="0.25">
      <c r="A38" s="364" t="s">
        <v>249</v>
      </c>
      <c r="B38" s="364" t="s">
        <v>407</v>
      </c>
      <c r="C38" s="364" t="s">
        <v>259</v>
      </c>
      <c r="D38" s="357" t="s">
        <v>255</v>
      </c>
      <c r="E38" s="358"/>
      <c r="F38" s="359"/>
      <c r="G38" s="360" t="s">
        <v>317</v>
      </c>
      <c r="H38" s="360" t="s">
        <v>318</v>
      </c>
      <c r="I38" s="384" t="s">
        <v>319</v>
      </c>
      <c r="J38" s="384" t="s">
        <v>320</v>
      </c>
      <c r="K38" s="360" t="s">
        <v>321</v>
      </c>
      <c r="L38" s="360"/>
      <c r="M38" s="360"/>
      <c r="N38" s="360"/>
      <c r="O38" s="360" t="s">
        <v>251</v>
      </c>
      <c r="P38" s="360"/>
      <c r="Q38" s="360"/>
      <c r="R38" s="360"/>
    </row>
    <row r="39" spans="1:18" ht="31.5" thickTop="1" thickBot="1" x14ac:dyDescent="0.25">
      <c r="A39" s="365"/>
      <c r="B39" s="365"/>
      <c r="C39" s="365"/>
      <c r="D39" s="118" t="s">
        <v>256</v>
      </c>
      <c r="E39" s="118" t="s">
        <v>257</v>
      </c>
      <c r="F39" s="118" t="s">
        <v>258</v>
      </c>
      <c r="G39" s="360"/>
      <c r="H39" s="360"/>
      <c r="I39" s="385"/>
      <c r="J39" s="385"/>
      <c r="K39" s="119" t="s">
        <v>247</v>
      </c>
      <c r="L39" s="119" t="s">
        <v>245</v>
      </c>
      <c r="M39" s="119" t="s">
        <v>246</v>
      </c>
      <c r="N39" s="119" t="s">
        <v>192</v>
      </c>
      <c r="O39" s="119" t="s">
        <v>252</v>
      </c>
      <c r="P39" s="119" t="s">
        <v>250</v>
      </c>
      <c r="Q39" s="119" t="s">
        <v>253</v>
      </c>
      <c r="R39" s="119" t="s">
        <v>254</v>
      </c>
    </row>
    <row r="40" spans="1:18" ht="39" customHeight="1" thickTop="1" x14ac:dyDescent="0.2">
      <c r="A40" s="368" t="s">
        <v>265</v>
      </c>
      <c r="B40" s="149" t="s">
        <v>266</v>
      </c>
      <c r="C40" s="149">
        <v>444</v>
      </c>
      <c r="D40" s="149" t="s">
        <v>28</v>
      </c>
      <c r="E40" s="149" t="s">
        <v>28</v>
      </c>
      <c r="F40" s="149" t="s">
        <v>28</v>
      </c>
      <c r="G40" s="149">
        <f t="shared" ref="G40:N40" si="23">+G16</f>
        <v>750.35</v>
      </c>
      <c r="H40" s="149">
        <f t="shared" si="23"/>
        <v>124.71000000000001</v>
      </c>
      <c r="I40" s="149">
        <f t="shared" si="23"/>
        <v>738.86000000000013</v>
      </c>
      <c r="J40" s="214">
        <f t="shared" si="23"/>
        <v>863.57</v>
      </c>
      <c r="K40" s="150">
        <f t="shared" si="23"/>
        <v>3477479.0399999996</v>
      </c>
      <c r="L40" s="150">
        <f t="shared" si="23"/>
        <v>463921.20000000007</v>
      </c>
      <c r="M40" s="150">
        <f t="shared" si="23"/>
        <v>2748559.2</v>
      </c>
      <c r="N40" s="216">
        <f t="shared" si="23"/>
        <v>6689959.4399999995</v>
      </c>
      <c r="O40" s="152">
        <f>+K40/J40</f>
        <v>4026.8641106106043</v>
      </c>
      <c r="P40" s="152">
        <f>+L40/H40</f>
        <v>3720.0000000000005</v>
      </c>
      <c r="Q40" s="152">
        <f>+M40/I40</f>
        <v>3719.9999999999995</v>
      </c>
      <c r="R40" s="153">
        <f>+N40/J40</f>
        <v>7746.8641106106033</v>
      </c>
    </row>
    <row r="41" spans="1:18" ht="37.5" customHeight="1" thickBot="1" x14ac:dyDescent="0.25">
      <c r="A41" s="383"/>
      <c r="B41" s="154" t="s">
        <v>267</v>
      </c>
      <c r="C41" s="155">
        <v>80</v>
      </c>
      <c r="D41" s="155" t="s">
        <v>28</v>
      </c>
      <c r="E41" s="155" t="s">
        <v>28</v>
      </c>
      <c r="F41" s="155" t="s">
        <v>28</v>
      </c>
      <c r="G41" s="155">
        <f t="shared" ref="G41:Q41" si="24">+G34</f>
        <v>0</v>
      </c>
      <c r="H41" s="155">
        <f t="shared" si="24"/>
        <v>555.62999999999988</v>
      </c>
      <c r="I41" s="155">
        <f t="shared" si="24"/>
        <v>0</v>
      </c>
      <c r="J41" s="215">
        <f t="shared" si="24"/>
        <v>555.62999999999988</v>
      </c>
      <c r="K41" s="156">
        <f t="shared" si="24"/>
        <v>626572.80000000016</v>
      </c>
      <c r="L41" s="156">
        <f t="shared" si="24"/>
        <v>2066943.2000000004</v>
      </c>
      <c r="M41" s="156">
        <f t="shared" si="24"/>
        <v>0</v>
      </c>
      <c r="N41" s="217">
        <f t="shared" si="24"/>
        <v>2693516</v>
      </c>
      <c r="O41" s="157">
        <f>+K41/J41</f>
        <v>1127.6799308892614</v>
      </c>
      <c r="P41" s="157">
        <f t="shared" si="24"/>
        <v>3719.9992800964687</v>
      </c>
      <c r="Q41" s="157">
        <f t="shared" si="24"/>
        <v>0</v>
      </c>
      <c r="R41" s="158">
        <f>+N41/J41</f>
        <v>4847.6792109857288</v>
      </c>
    </row>
    <row r="42" spans="1:18" ht="16.5" thickTop="1" thickBot="1" x14ac:dyDescent="0.25">
      <c r="A42" s="361" t="s">
        <v>6</v>
      </c>
      <c r="B42" s="362"/>
      <c r="C42" s="134">
        <f>SUM(C40:C41)</f>
        <v>524</v>
      </c>
      <c r="D42" s="134" t="s">
        <v>28</v>
      </c>
      <c r="E42" s="134" t="s">
        <v>28</v>
      </c>
      <c r="F42" s="134" t="s">
        <v>28</v>
      </c>
      <c r="G42" s="134">
        <f t="shared" ref="G42:N42" si="25">SUM(G40:G41)</f>
        <v>750.35</v>
      </c>
      <c r="H42" s="134">
        <f t="shared" si="25"/>
        <v>680.33999999999992</v>
      </c>
      <c r="I42" s="134">
        <f t="shared" si="25"/>
        <v>738.86000000000013</v>
      </c>
      <c r="J42" s="41">
        <f t="shared" si="25"/>
        <v>1419.1999999999998</v>
      </c>
      <c r="K42" s="41">
        <f t="shared" si="25"/>
        <v>4104051.84</v>
      </c>
      <c r="L42" s="41">
        <f t="shared" si="25"/>
        <v>2530864.4000000004</v>
      </c>
      <c r="M42" s="41">
        <f t="shared" si="25"/>
        <v>2748559.2</v>
      </c>
      <c r="N42" s="40">
        <f t="shared" si="25"/>
        <v>9383475.4399999995</v>
      </c>
      <c r="O42" s="40">
        <f>+K42/J42</f>
        <v>2891.8065388951522</v>
      </c>
      <c r="P42" s="40">
        <f>+L42/H42</f>
        <v>3719.9994120586775</v>
      </c>
      <c r="Q42" s="40">
        <v>0</v>
      </c>
      <c r="R42" s="40">
        <f>+N42/J42</f>
        <v>6611.8062570462234</v>
      </c>
    </row>
    <row r="43" spans="1:18" ht="15" thickTop="1" x14ac:dyDescent="0.2"/>
    <row r="44" spans="1:18" x14ac:dyDescent="0.2">
      <c r="A44" s="25" t="s">
        <v>333</v>
      </c>
    </row>
    <row r="46" spans="1:18" ht="15" thickBot="1" x14ac:dyDescent="0.25"/>
    <row r="47" spans="1:18" ht="28.5" customHeight="1" thickTop="1" thickBot="1" x14ac:dyDescent="0.25">
      <c r="A47" s="376" t="s">
        <v>249</v>
      </c>
      <c r="B47" s="376" t="s">
        <v>407</v>
      </c>
      <c r="C47" s="376" t="s">
        <v>259</v>
      </c>
      <c r="D47" s="372" t="s">
        <v>255</v>
      </c>
      <c r="E47" s="373"/>
      <c r="F47" s="374"/>
      <c r="G47" s="375" t="s">
        <v>242</v>
      </c>
      <c r="H47" s="375" t="s">
        <v>241</v>
      </c>
      <c r="I47" s="392" t="s">
        <v>243</v>
      </c>
      <c r="J47" s="392" t="s">
        <v>244</v>
      </c>
      <c r="K47" s="375" t="s">
        <v>248</v>
      </c>
      <c r="L47" s="375"/>
      <c r="M47" s="375"/>
      <c r="N47" s="375"/>
      <c r="O47" s="375" t="s">
        <v>251</v>
      </c>
      <c r="P47" s="375"/>
      <c r="Q47" s="375"/>
      <c r="R47" s="375"/>
    </row>
    <row r="48" spans="1:18" ht="42" customHeight="1" thickTop="1" thickBot="1" x14ac:dyDescent="0.25">
      <c r="A48" s="377"/>
      <c r="B48" s="377"/>
      <c r="C48" s="377"/>
      <c r="D48" s="222" t="s">
        <v>256</v>
      </c>
      <c r="E48" s="222" t="s">
        <v>257</v>
      </c>
      <c r="F48" s="222" t="s">
        <v>258</v>
      </c>
      <c r="G48" s="375"/>
      <c r="H48" s="375"/>
      <c r="I48" s="393"/>
      <c r="J48" s="393"/>
      <c r="K48" s="220" t="s">
        <v>247</v>
      </c>
      <c r="L48" s="220" t="s">
        <v>245</v>
      </c>
      <c r="M48" s="220" t="s">
        <v>246</v>
      </c>
      <c r="N48" s="220" t="s">
        <v>192</v>
      </c>
      <c r="O48" s="220" t="s">
        <v>252</v>
      </c>
      <c r="P48" s="220" t="s">
        <v>250</v>
      </c>
      <c r="Q48" s="220" t="s">
        <v>253</v>
      </c>
      <c r="R48" s="220" t="s">
        <v>254</v>
      </c>
    </row>
    <row r="49" spans="1:18" ht="15" thickTop="1" x14ac:dyDescent="0.2">
      <c r="A49" s="368" t="s">
        <v>260</v>
      </c>
      <c r="B49" s="135" t="s">
        <v>201</v>
      </c>
      <c r="C49" s="135" t="s">
        <v>28</v>
      </c>
      <c r="D49" s="135" t="s">
        <v>28</v>
      </c>
      <c r="E49" s="135" t="s">
        <v>28</v>
      </c>
      <c r="F49" s="135" t="s">
        <v>28</v>
      </c>
      <c r="G49" s="108">
        <f t="shared" ref="G49:N52" si="26">+G4+G22</f>
        <v>133.38999999999999</v>
      </c>
      <c r="H49" s="108">
        <f t="shared" si="26"/>
        <v>128.84</v>
      </c>
      <c r="I49" s="108">
        <f t="shared" si="26"/>
        <v>121.02</v>
      </c>
      <c r="J49" s="228">
        <f t="shared" si="26"/>
        <v>249.85999999999999</v>
      </c>
      <c r="K49" s="102">
        <f t="shared" si="26"/>
        <v>342004.32</v>
      </c>
      <c r="L49" s="102">
        <f t="shared" si="26"/>
        <v>479284.8</v>
      </c>
      <c r="M49" s="102">
        <f t="shared" si="26"/>
        <v>450194.4</v>
      </c>
      <c r="N49" s="229">
        <f t="shared" si="26"/>
        <v>1271483.52</v>
      </c>
      <c r="O49" s="31">
        <f>+K49/J49</f>
        <v>1368.7837989273994</v>
      </c>
      <c r="P49" s="31">
        <f>+L49/H49</f>
        <v>3720</v>
      </c>
      <c r="Q49" s="31">
        <f>+M49/I49</f>
        <v>3720.0000000000005</v>
      </c>
      <c r="R49" s="223">
        <f>+N49/J49</f>
        <v>5088.7837989273994</v>
      </c>
    </row>
    <row r="50" spans="1:18" x14ac:dyDescent="0.2">
      <c r="A50" s="369"/>
      <c r="B50" s="33" t="s">
        <v>202</v>
      </c>
      <c r="C50" s="33" t="s">
        <v>28</v>
      </c>
      <c r="D50" s="33" t="s">
        <v>28</v>
      </c>
      <c r="E50" s="33" t="s">
        <v>28</v>
      </c>
      <c r="F50" s="33" t="s">
        <v>28</v>
      </c>
      <c r="G50" s="109">
        <f t="shared" si="26"/>
        <v>124.4</v>
      </c>
      <c r="H50" s="109">
        <f t="shared" si="26"/>
        <v>97.71</v>
      </c>
      <c r="I50" s="109">
        <f t="shared" si="26"/>
        <v>112.72</v>
      </c>
      <c r="J50" s="227">
        <f t="shared" si="26"/>
        <v>210.43</v>
      </c>
      <c r="K50" s="35">
        <f t="shared" si="26"/>
        <v>342004.32</v>
      </c>
      <c r="L50" s="35">
        <f t="shared" si="26"/>
        <v>363481.2</v>
      </c>
      <c r="M50" s="35">
        <f t="shared" si="26"/>
        <v>419318.4</v>
      </c>
      <c r="N50" s="224">
        <f t="shared" si="26"/>
        <v>1124803.92</v>
      </c>
      <c r="O50" s="35">
        <f t="shared" ref="O50:O55" si="27">+K50/J50</f>
        <v>1625.2640783158295</v>
      </c>
      <c r="P50" s="35">
        <f t="shared" ref="P50:P55" si="28">+L50/H50</f>
        <v>3720.0000000000005</v>
      </c>
      <c r="Q50" s="35">
        <f t="shared" ref="Q50:Q60" si="29">+M50/I50</f>
        <v>3720.0000000000005</v>
      </c>
      <c r="R50" s="224">
        <f t="shared" ref="R50:R55" si="30">+N50/J50</f>
        <v>5345.2640783158286</v>
      </c>
    </row>
    <row r="51" spans="1:18" x14ac:dyDescent="0.2">
      <c r="A51" s="369"/>
      <c r="B51" s="33" t="s">
        <v>203</v>
      </c>
      <c r="C51" s="33" t="s">
        <v>28</v>
      </c>
      <c r="D51" s="33" t="s">
        <v>28</v>
      </c>
      <c r="E51" s="33" t="s">
        <v>28</v>
      </c>
      <c r="F51" s="33" t="s">
        <v>28</v>
      </c>
      <c r="G51" s="109">
        <f t="shared" si="26"/>
        <v>92.08</v>
      </c>
      <c r="H51" s="109">
        <f t="shared" si="26"/>
        <v>79.010000000000005</v>
      </c>
      <c r="I51" s="109">
        <f t="shared" si="26"/>
        <v>83.54</v>
      </c>
      <c r="J51" s="227">
        <f t="shared" si="26"/>
        <v>162.55000000000001</v>
      </c>
      <c r="K51" s="35">
        <f t="shared" si="26"/>
        <v>342004.32</v>
      </c>
      <c r="L51" s="35">
        <f t="shared" si="26"/>
        <v>293917.2</v>
      </c>
      <c r="M51" s="35">
        <f t="shared" si="26"/>
        <v>310768.8</v>
      </c>
      <c r="N51" s="224">
        <f t="shared" si="26"/>
        <v>946690.32000000007</v>
      </c>
      <c r="O51" s="35">
        <f t="shared" si="27"/>
        <v>2103.9945862811442</v>
      </c>
      <c r="P51" s="35">
        <f t="shared" si="28"/>
        <v>3720</v>
      </c>
      <c r="Q51" s="35">
        <f t="shared" si="29"/>
        <v>3719.9999999999995</v>
      </c>
      <c r="R51" s="224">
        <f t="shared" si="30"/>
        <v>5823.9945862811446</v>
      </c>
    </row>
    <row r="52" spans="1:18" x14ac:dyDescent="0.2">
      <c r="A52" s="369"/>
      <c r="B52" s="33" t="s">
        <v>204</v>
      </c>
      <c r="C52" s="33" t="s">
        <v>28</v>
      </c>
      <c r="D52" s="33" t="s">
        <v>28</v>
      </c>
      <c r="E52" s="33" t="s">
        <v>28</v>
      </c>
      <c r="F52" s="33" t="s">
        <v>28</v>
      </c>
      <c r="G52" s="109">
        <f t="shared" si="26"/>
        <v>49.25</v>
      </c>
      <c r="H52" s="109">
        <f t="shared" si="26"/>
        <v>48.9</v>
      </c>
      <c r="I52" s="109">
        <f t="shared" si="26"/>
        <v>44.68</v>
      </c>
      <c r="J52" s="227">
        <f t="shared" si="26"/>
        <v>93.58</v>
      </c>
      <c r="K52" s="35">
        <f t="shared" si="26"/>
        <v>342004.32</v>
      </c>
      <c r="L52" s="35">
        <f t="shared" si="26"/>
        <v>181908</v>
      </c>
      <c r="M52" s="35">
        <f t="shared" si="26"/>
        <v>166209.60000000001</v>
      </c>
      <c r="N52" s="224">
        <f t="shared" si="26"/>
        <v>690121.92</v>
      </c>
      <c r="O52" s="35">
        <f t="shared" si="27"/>
        <v>3654.6732207736695</v>
      </c>
      <c r="P52" s="35">
        <f t="shared" si="28"/>
        <v>3720</v>
      </c>
      <c r="Q52" s="35">
        <f t="shared" si="29"/>
        <v>3720</v>
      </c>
      <c r="R52" s="224">
        <f t="shared" si="30"/>
        <v>7374.6732207736704</v>
      </c>
    </row>
    <row r="53" spans="1:18" x14ac:dyDescent="0.2">
      <c r="A53" s="369"/>
      <c r="B53" s="33" t="s">
        <v>205</v>
      </c>
      <c r="C53" s="33" t="s">
        <v>28</v>
      </c>
      <c r="D53" s="33" t="s">
        <v>28</v>
      </c>
      <c r="E53" s="33" t="s">
        <v>28</v>
      </c>
      <c r="F53" s="33" t="s">
        <v>28</v>
      </c>
      <c r="G53" s="109">
        <f t="shared" ref="G53:I53" si="31">+G8+G26</f>
        <v>4.47</v>
      </c>
      <c r="H53" s="109">
        <f t="shared" si="31"/>
        <v>23.389999999999997</v>
      </c>
      <c r="I53" s="109">
        <f t="shared" si="31"/>
        <v>14.32</v>
      </c>
      <c r="J53" s="227">
        <f t="shared" ref="J53:N53" si="32">+J8+J26</f>
        <v>37.709999999999994</v>
      </c>
      <c r="K53" s="35">
        <f t="shared" si="32"/>
        <v>342004.32</v>
      </c>
      <c r="L53" s="35">
        <f t="shared" si="32"/>
        <v>87010.8</v>
      </c>
      <c r="M53" s="35">
        <f t="shared" si="32"/>
        <v>53270.400000000001</v>
      </c>
      <c r="N53" s="224">
        <f t="shared" si="32"/>
        <v>482285.52</v>
      </c>
      <c r="O53" s="35">
        <f t="shared" si="27"/>
        <v>9069.3269689737481</v>
      </c>
      <c r="P53" s="35">
        <f t="shared" si="28"/>
        <v>3720.0000000000005</v>
      </c>
      <c r="Q53" s="35">
        <f t="shared" si="29"/>
        <v>3720</v>
      </c>
      <c r="R53" s="224">
        <f t="shared" si="30"/>
        <v>12789.32696897375</v>
      </c>
    </row>
    <row r="54" spans="1:18" x14ac:dyDescent="0.2">
      <c r="A54" s="369"/>
      <c r="B54" s="33" t="s">
        <v>206</v>
      </c>
      <c r="C54" s="33" t="s">
        <v>28</v>
      </c>
      <c r="D54" s="33" t="s">
        <v>28</v>
      </c>
      <c r="E54" s="33" t="s">
        <v>28</v>
      </c>
      <c r="F54" s="33" t="s">
        <v>28</v>
      </c>
      <c r="G54" s="109">
        <f t="shared" ref="G54:I54" si="33">+G9+G27</f>
        <v>0</v>
      </c>
      <c r="H54" s="109">
        <f t="shared" si="33"/>
        <v>8.14</v>
      </c>
      <c r="I54" s="109">
        <f t="shared" si="33"/>
        <v>16.52</v>
      </c>
      <c r="J54" s="227">
        <f t="shared" ref="J54:N54" si="34">+J9+J27</f>
        <v>24.66</v>
      </c>
      <c r="K54" s="35">
        <f t="shared" si="34"/>
        <v>342004.32</v>
      </c>
      <c r="L54" s="35">
        <f t="shared" si="34"/>
        <v>30280.799999999999</v>
      </c>
      <c r="M54" s="35">
        <f t="shared" si="34"/>
        <v>61454.400000000001</v>
      </c>
      <c r="N54" s="224">
        <f t="shared" si="34"/>
        <v>433739.52000000002</v>
      </c>
      <c r="O54" s="35">
        <f t="shared" si="27"/>
        <v>13868.788321167884</v>
      </c>
      <c r="P54" s="35">
        <f t="shared" si="28"/>
        <v>3719.9999999999995</v>
      </c>
      <c r="Q54" s="35">
        <f t="shared" si="29"/>
        <v>3720</v>
      </c>
      <c r="R54" s="224">
        <f t="shared" si="30"/>
        <v>17588.788321167885</v>
      </c>
    </row>
    <row r="55" spans="1:18" x14ac:dyDescent="0.2">
      <c r="A55" s="369"/>
      <c r="B55" s="33" t="s">
        <v>207</v>
      </c>
      <c r="C55" s="33" t="s">
        <v>28</v>
      </c>
      <c r="D55" s="33" t="s">
        <v>28</v>
      </c>
      <c r="E55" s="33" t="s">
        <v>28</v>
      </c>
      <c r="F55" s="33" t="s">
        <v>28</v>
      </c>
      <c r="G55" s="109">
        <f t="shared" ref="G55:G60" si="35">+G28+G10</f>
        <v>0</v>
      </c>
      <c r="H55" s="109">
        <f t="shared" ref="H55:N60" si="36">+H28+H10</f>
        <v>18.72</v>
      </c>
      <c r="I55" s="109">
        <f t="shared" si="36"/>
        <v>0</v>
      </c>
      <c r="J55" s="227">
        <f t="shared" si="36"/>
        <v>18.72</v>
      </c>
      <c r="K55" s="144">
        <f t="shared" si="36"/>
        <v>342004.32</v>
      </c>
      <c r="L55" s="144">
        <f t="shared" si="36"/>
        <v>69638</v>
      </c>
      <c r="M55" s="144">
        <f t="shared" si="36"/>
        <v>0</v>
      </c>
      <c r="N55" s="224">
        <f t="shared" si="36"/>
        <v>411642.31999999995</v>
      </c>
      <c r="O55" s="35">
        <f t="shared" si="27"/>
        <v>18269.461538461539</v>
      </c>
      <c r="P55" s="35">
        <f t="shared" si="28"/>
        <v>3719.9786324786328</v>
      </c>
      <c r="Q55" s="35" t="e">
        <f t="shared" si="29"/>
        <v>#DIV/0!</v>
      </c>
      <c r="R55" s="224">
        <f t="shared" si="30"/>
        <v>21989.440170940168</v>
      </c>
    </row>
    <row r="56" spans="1:18" x14ac:dyDescent="0.2">
      <c r="A56" s="369"/>
      <c r="B56" s="33" t="s">
        <v>208</v>
      </c>
      <c r="C56" s="33" t="s">
        <v>28</v>
      </c>
      <c r="D56" s="33" t="s">
        <v>28</v>
      </c>
      <c r="E56" s="33" t="s">
        <v>28</v>
      </c>
      <c r="F56" s="33" t="s">
        <v>28</v>
      </c>
      <c r="G56" s="109">
        <f t="shared" si="35"/>
        <v>0</v>
      </c>
      <c r="H56" s="109">
        <f t="shared" si="36"/>
        <v>26.279999999999998</v>
      </c>
      <c r="I56" s="109">
        <f t="shared" si="36"/>
        <v>12.3</v>
      </c>
      <c r="J56" s="227">
        <f t="shared" si="36"/>
        <v>38.58</v>
      </c>
      <c r="K56" s="144">
        <f t="shared" si="36"/>
        <v>342004.32</v>
      </c>
      <c r="L56" s="144">
        <f t="shared" si="36"/>
        <v>97761.600000000006</v>
      </c>
      <c r="M56" s="144">
        <f t="shared" si="36"/>
        <v>45756</v>
      </c>
      <c r="N56" s="224">
        <f t="shared" si="36"/>
        <v>485521.91999999998</v>
      </c>
      <c r="O56" s="35">
        <f t="shared" ref="O56" si="37">+K56/J56</f>
        <v>8864.8087091757388</v>
      </c>
      <c r="P56" s="35">
        <f t="shared" ref="P56" si="38">+L56/H56</f>
        <v>3720.0000000000005</v>
      </c>
      <c r="Q56" s="35">
        <f t="shared" si="29"/>
        <v>3720</v>
      </c>
      <c r="R56" s="224">
        <f t="shared" ref="R56" si="39">+N56/J56</f>
        <v>12584.808709175739</v>
      </c>
    </row>
    <row r="57" spans="1:18" x14ac:dyDescent="0.2">
      <c r="A57" s="369"/>
      <c r="B57" s="33" t="s">
        <v>209</v>
      </c>
      <c r="C57" s="33" t="s">
        <v>28</v>
      </c>
      <c r="D57" s="33" t="s">
        <v>28</v>
      </c>
      <c r="E57" s="33" t="s">
        <v>28</v>
      </c>
      <c r="F57" s="33" t="s">
        <v>28</v>
      </c>
      <c r="G57" s="109">
        <f t="shared" si="35"/>
        <v>0</v>
      </c>
      <c r="H57" s="109">
        <f t="shared" si="36"/>
        <v>7.63</v>
      </c>
      <c r="I57" s="109">
        <f t="shared" si="36"/>
        <v>19.170000000000002</v>
      </c>
      <c r="J57" s="227">
        <f t="shared" si="36"/>
        <v>26.8</v>
      </c>
      <c r="K57" s="144">
        <f t="shared" si="36"/>
        <v>342004.32</v>
      </c>
      <c r="L57" s="144">
        <f t="shared" si="36"/>
        <v>28383.599999999999</v>
      </c>
      <c r="M57" s="144">
        <f t="shared" si="36"/>
        <v>71312.399999999994</v>
      </c>
      <c r="N57" s="224">
        <f t="shared" si="36"/>
        <v>441700.31999999995</v>
      </c>
      <c r="O57" s="35">
        <f t="shared" ref="O57:O61" si="40">+K57/J57</f>
        <v>12761.355223880597</v>
      </c>
      <c r="P57" s="35">
        <f t="shared" ref="P57:P61" si="41">+L57/H57</f>
        <v>3720</v>
      </c>
      <c r="Q57" s="35">
        <f t="shared" si="29"/>
        <v>3719.9999999999995</v>
      </c>
      <c r="R57" s="224">
        <f t="shared" ref="R57:R61" si="42">+N57/J57</f>
        <v>16481.355223880593</v>
      </c>
    </row>
    <row r="58" spans="1:18" x14ac:dyDescent="0.2">
      <c r="A58" s="369"/>
      <c r="B58" s="33" t="s">
        <v>210</v>
      </c>
      <c r="C58" s="33" t="s">
        <v>28</v>
      </c>
      <c r="D58" s="33" t="s">
        <v>28</v>
      </c>
      <c r="E58" s="33" t="s">
        <v>28</v>
      </c>
      <c r="F58" s="33" t="s">
        <v>28</v>
      </c>
      <c r="G58" s="109">
        <f t="shared" si="35"/>
        <v>87.11</v>
      </c>
      <c r="H58" s="109">
        <f t="shared" si="36"/>
        <v>38.78</v>
      </c>
      <c r="I58" s="109">
        <f t="shared" si="36"/>
        <v>79.03</v>
      </c>
      <c r="J58" s="227">
        <f t="shared" si="36"/>
        <v>117.81</v>
      </c>
      <c r="K58" s="144">
        <f t="shared" si="36"/>
        <v>342004.32</v>
      </c>
      <c r="L58" s="144">
        <f t="shared" si="36"/>
        <v>144261.6</v>
      </c>
      <c r="M58" s="144">
        <f t="shared" si="36"/>
        <v>293991.59999999998</v>
      </c>
      <c r="N58" s="224">
        <f t="shared" si="36"/>
        <v>780257.5199999999</v>
      </c>
      <c r="O58" s="35">
        <f t="shared" si="40"/>
        <v>2903.0160427807486</v>
      </c>
      <c r="P58" s="35">
        <f t="shared" si="41"/>
        <v>3720</v>
      </c>
      <c r="Q58" s="35">
        <f t="shared" si="29"/>
        <v>3719.9999999999995</v>
      </c>
      <c r="R58" s="224">
        <f t="shared" si="42"/>
        <v>6623.0160427807477</v>
      </c>
    </row>
    <row r="59" spans="1:18" x14ac:dyDescent="0.2">
      <c r="A59" s="369"/>
      <c r="B59" s="33" t="s">
        <v>211</v>
      </c>
      <c r="C59" s="33" t="s">
        <v>28</v>
      </c>
      <c r="D59" s="33" t="s">
        <v>28</v>
      </c>
      <c r="E59" s="33" t="s">
        <v>28</v>
      </c>
      <c r="F59" s="33" t="s">
        <v>28</v>
      </c>
      <c r="G59" s="109">
        <f t="shared" si="35"/>
        <v>106.04</v>
      </c>
      <c r="H59" s="109">
        <f t="shared" si="36"/>
        <v>91.72999999999999</v>
      </c>
      <c r="I59" s="109">
        <f t="shared" si="36"/>
        <v>96.2</v>
      </c>
      <c r="J59" s="227">
        <f t="shared" si="36"/>
        <v>187.93</v>
      </c>
      <c r="K59" s="144">
        <f t="shared" si="36"/>
        <v>342004.32</v>
      </c>
      <c r="L59" s="144">
        <f t="shared" si="36"/>
        <v>341235.6</v>
      </c>
      <c r="M59" s="144">
        <f t="shared" si="36"/>
        <v>357864</v>
      </c>
      <c r="N59" s="224">
        <f t="shared" si="36"/>
        <v>1041103.9199999999</v>
      </c>
      <c r="O59" s="35">
        <f t="shared" si="40"/>
        <v>1819.8495184377161</v>
      </c>
      <c r="P59" s="35">
        <f t="shared" si="41"/>
        <v>3720</v>
      </c>
      <c r="Q59" s="35">
        <f t="shared" si="29"/>
        <v>3720</v>
      </c>
      <c r="R59" s="224">
        <f t="shared" si="42"/>
        <v>5539.8495184377152</v>
      </c>
    </row>
    <row r="60" spans="1:18" ht="15" thickBot="1" x14ac:dyDescent="0.25">
      <c r="A60" s="383"/>
      <c r="B60" s="136" t="s">
        <v>212</v>
      </c>
      <c r="C60" s="137" t="s">
        <v>28</v>
      </c>
      <c r="D60" s="137" t="s">
        <v>28</v>
      </c>
      <c r="E60" s="137" t="s">
        <v>28</v>
      </c>
      <c r="F60" s="137" t="s">
        <v>28</v>
      </c>
      <c r="G60" s="109">
        <f t="shared" si="35"/>
        <v>153.61000000000001</v>
      </c>
      <c r="H60" s="109">
        <f t="shared" si="36"/>
        <v>111.21</v>
      </c>
      <c r="I60" s="109">
        <f t="shared" si="36"/>
        <v>139.36000000000001</v>
      </c>
      <c r="J60" s="227">
        <f t="shared" si="36"/>
        <v>250.57</v>
      </c>
      <c r="K60" s="144">
        <f t="shared" si="36"/>
        <v>342004.32</v>
      </c>
      <c r="L60" s="144">
        <f t="shared" si="36"/>
        <v>413701.19999999995</v>
      </c>
      <c r="M60" s="144">
        <f t="shared" si="36"/>
        <v>518419.20000000001</v>
      </c>
      <c r="N60" s="224">
        <f t="shared" si="36"/>
        <v>1274124.72</v>
      </c>
      <c r="O60" s="38">
        <f t="shared" si="40"/>
        <v>1364.9052959252904</v>
      </c>
      <c r="P60" s="38">
        <f t="shared" si="41"/>
        <v>3720</v>
      </c>
      <c r="Q60" s="38">
        <f t="shared" si="29"/>
        <v>3719.9999999999995</v>
      </c>
      <c r="R60" s="225">
        <f t="shared" si="42"/>
        <v>5084.9052959252904</v>
      </c>
    </row>
    <row r="61" spans="1:18" ht="16.5" thickTop="1" thickBot="1" x14ac:dyDescent="0.25">
      <c r="A61" s="361" t="s">
        <v>6</v>
      </c>
      <c r="B61" s="362"/>
      <c r="C61" s="134"/>
      <c r="D61" s="134"/>
      <c r="E61" s="134"/>
      <c r="F61" s="134">
        <f t="shared" ref="F61" si="43">+E61-D61</f>
        <v>0</v>
      </c>
      <c r="G61" s="111">
        <f t="shared" ref="G61:N61" si="44">SUM(G49:G60)</f>
        <v>750.35</v>
      </c>
      <c r="H61" s="111">
        <f t="shared" si="44"/>
        <v>680.33999999999992</v>
      </c>
      <c r="I61" s="111">
        <f t="shared" si="44"/>
        <v>738.86000000000013</v>
      </c>
      <c r="J61" s="134">
        <f t="shared" si="44"/>
        <v>1419.2</v>
      </c>
      <c r="K61" s="40">
        <f t="shared" si="44"/>
        <v>4104051.8399999994</v>
      </c>
      <c r="L61" s="40">
        <f t="shared" si="44"/>
        <v>2530864.4000000004</v>
      </c>
      <c r="M61" s="40">
        <f t="shared" si="44"/>
        <v>2748559.2</v>
      </c>
      <c r="N61" s="40">
        <f t="shared" si="44"/>
        <v>9383475.4399999995</v>
      </c>
      <c r="O61" s="40">
        <f t="shared" si="40"/>
        <v>2891.8065388951518</v>
      </c>
      <c r="P61" s="40">
        <f t="shared" si="41"/>
        <v>3719.9994120586775</v>
      </c>
      <c r="Q61" s="40">
        <v>0</v>
      </c>
      <c r="R61" s="40">
        <f t="shared" si="42"/>
        <v>6611.8062570462225</v>
      </c>
    </row>
    <row r="62" spans="1:18" ht="15" thickTop="1" x14ac:dyDescent="0.2"/>
  </sheetData>
  <mergeCells count="55">
    <mergeCell ref="A40:A41"/>
    <mergeCell ref="A42:B42"/>
    <mergeCell ref="F35:G35"/>
    <mergeCell ref="J35:M35"/>
    <mergeCell ref="O35:P35"/>
    <mergeCell ref="A38:A39"/>
    <mergeCell ref="B38:B39"/>
    <mergeCell ref="C38:C39"/>
    <mergeCell ref="D38:F38"/>
    <mergeCell ref="G38:G39"/>
    <mergeCell ref="H38:H39"/>
    <mergeCell ref="I38:I39"/>
    <mergeCell ref="J38:J39"/>
    <mergeCell ref="K38:N38"/>
    <mergeCell ref="O38:R38"/>
    <mergeCell ref="A22:A33"/>
    <mergeCell ref="A34:B34"/>
    <mergeCell ref="F17:G17"/>
    <mergeCell ref="J17:M17"/>
    <mergeCell ref="O17:P17"/>
    <mergeCell ref="O2:R2"/>
    <mergeCell ref="A1:Q1"/>
    <mergeCell ref="D2:F2"/>
    <mergeCell ref="A20:A21"/>
    <mergeCell ref="B20:B21"/>
    <mergeCell ref="C20:C21"/>
    <mergeCell ref="D20:F20"/>
    <mergeCell ref="G20:G21"/>
    <mergeCell ref="H20:H21"/>
    <mergeCell ref="I20:I21"/>
    <mergeCell ref="J20:J21"/>
    <mergeCell ref="K20:N20"/>
    <mergeCell ref="O20:R20"/>
    <mergeCell ref="A4:A15"/>
    <mergeCell ref="A16:B16"/>
    <mergeCell ref="A2:A3"/>
    <mergeCell ref="B2:B3"/>
    <mergeCell ref="H2:H3"/>
    <mergeCell ref="I2:I3"/>
    <mergeCell ref="K2:N2"/>
    <mergeCell ref="G2:G3"/>
    <mergeCell ref="J2:J3"/>
    <mergeCell ref="C2:C3"/>
    <mergeCell ref="K47:N47"/>
    <mergeCell ref="O47:R47"/>
    <mergeCell ref="A47:A48"/>
    <mergeCell ref="B47:B48"/>
    <mergeCell ref="C47:C48"/>
    <mergeCell ref="D47:F47"/>
    <mergeCell ref="G47:G48"/>
    <mergeCell ref="A49:A60"/>
    <mergeCell ref="A61:B61"/>
    <mergeCell ref="H47:H48"/>
    <mergeCell ref="I47:I48"/>
    <mergeCell ref="J47:J4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4" fitToHeight="4" orientation="landscape" horizontalDpi="0" verticalDpi="0" r:id="rId1"/>
  <headerFooter>
    <oddFooter>&amp;LGombkötő Ervin János
energetikai szakreferens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Földgáz Baja 20 feletti</vt:lpstr>
      <vt:lpstr>Földgáz Baja 20 alatti</vt:lpstr>
      <vt:lpstr>Földgáz Kalocsa 20 feletti</vt:lpstr>
      <vt:lpstr>Földgáz Kalocsa 20 alatti</vt:lpstr>
      <vt:lpstr>Földgáz SZC Összesen</vt:lpstr>
      <vt:lpstr> Villamos Energia Baja</vt:lpstr>
      <vt:lpstr>Villamos Energia Kalocsa</vt:lpstr>
      <vt:lpstr>Villamos Energia SZC Összesen</vt:lpstr>
      <vt:lpstr>Hő Energia SZC Összesen</vt:lpstr>
      <vt:lpstr>Üzemanyag SZC Összesen</vt:lpstr>
      <vt:lpstr>Járművek SZC Összesen</vt:lpstr>
      <vt:lpstr>Adatok 22.C-hez</vt:lpstr>
      <vt:lpstr>Intézményenkénti</vt:lpstr>
      <vt:lpstr>Honlapra Május 31-ig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Gombkötő Ervin</dc:creator>
  <cp:lastModifiedBy>Ervin</cp:lastModifiedBy>
  <cp:lastPrinted>2017-11-16T09:27:52Z</cp:lastPrinted>
  <dcterms:created xsi:type="dcterms:W3CDTF">2017-02-03T07:54:24Z</dcterms:created>
  <dcterms:modified xsi:type="dcterms:W3CDTF">2022-05-09T10:49:32Z</dcterms:modified>
</cp:coreProperties>
</file>